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Nenutilova\Documents\2022 - rozpočet\Pololetní hospodaření do RM a ZM\RM 6.9.2022\"/>
    </mc:Choice>
  </mc:AlternateContent>
  <xr:revisionPtr revIDLastSave="0" documentId="13_ncr:1_{3C5B2A35-7A82-4D18-9C7F-AC44801699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ň. příjmy 2022" sheetId="6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1" i="6" l="1"/>
  <c r="B90" i="6"/>
  <c r="B89" i="6"/>
  <c r="B88" i="6"/>
  <c r="B87" i="6"/>
  <c r="B86" i="6"/>
  <c r="B85" i="6"/>
  <c r="B84" i="6"/>
  <c r="B83" i="6"/>
  <c r="B82" i="6"/>
  <c r="B81" i="6"/>
  <c r="B43" i="6"/>
  <c r="B42" i="6"/>
  <c r="B41" i="6"/>
  <c r="B40" i="6"/>
  <c r="B39" i="6"/>
  <c r="B38" i="6"/>
  <c r="B37" i="6"/>
  <c r="B36" i="6"/>
  <c r="B35" i="6"/>
  <c r="B34" i="6"/>
  <c r="B33" i="6"/>
  <c r="K45" i="6"/>
  <c r="L45" i="6"/>
  <c r="M45" i="6"/>
  <c r="I21" i="6" l="1"/>
  <c r="D73" i="6" l="1"/>
  <c r="D72" i="6" l="1"/>
  <c r="C95" i="6" s="1"/>
  <c r="C46" i="6" l="1"/>
  <c r="C94" i="6"/>
  <c r="D76" i="6" l="1"/>
  <c r="B32" i="6" l="1"/>
  <c r="J45" i="6" l="1"/>
  <c r="D70" i="6" l="1"/>
  <c r="D57" i="6" l="1"/>
  <c r="D58" i="6"/>
  <c r="D59" i="6"/>
  <c r="D60" i="6"/>
  <c r="D61" i="6"/>
  <c r="D62" i="6"/>
  <c r="D63" i="6"/>
  <c r="D64" i="6"/>
  <c r="D65" i="6"/>
  <c r="D66" i="6"/>
  <c r="D67" i="6"/>
  <c r="D56" i="6"/>
  <c r="E56" i="6" s="1"/>
  <c r="E57" i="6" l="1"/>
  <c r="E60" i="6"/>
  <c r="E67" i="6"/>
  <c r="E64" i="6"/>
  <c r="E59" i="6"/>
  <c r="E61" i="6"/>
  <c r="E63" i="6"/>
  <c r="E66" i="6"/>
  <c r="E62" i="6"/>
  <c r="E58" i="6"/>
  <c r="E65" i="6"/>
  <c r="C68" i="6"/>
  <c r="C74" i="6" s="1"/>
  <c r="I27" i="6" l="1"/>
  <c r="B68" i="6" l="1"/>
  <c r="B74" i="6" s="1"/>
  <c r="D68" i="6" l="1"/>
  <c r="D74" i="6" s="1"/>
  <c r="L19" i="6"/>
  <c r="L21" i="6" s="1"/>
  <c r="C19" i="6" l="1"/>
  <c r="C25" i="6" s="1"/>
  <c r="D19" i="6"/>
  <c r="D25" i="6" s="1"/>
  <c r="E19" i="6"/>
  <c r="E25" i="6" s="1"/>
  <c r="F19" i="6"/>
  <c r="F25" i="6" s="1"/>
  <c r="G19" i="6"/>
  <c r="G25" i="6" s="1"/>
  <c r="H19" i="6"/>
  <c r="H25" i="6" s="1"/>
  <c r="B19" i="6"/>
  <c r="B25" i="6" s="1"/>
  <c r="I8" i="6"/>
  <c r="I9" i="6"/>
  <c r="I10" i="6"/>
  <c r="I11" i="6"/>
  <c r="I12" i="6"/>
  <c r="I13" i="6"/>
  <c r="I14" i="6"/>
  <c r="I15" i="6"/>
  <c r="I16" i="6"/>
  <c r="I17" i="6"/>
  <c r="I18" i="6"/>
  <c r="I7" i="6"/>
  <c r="I19" i="6" l="1"/>
  <c r="I25" i="6" s="1"/>
  <c r="J20" i="6"/>
  <c r="J8" i="6"/>
  <c r="J15" i="6"/>
  <c r="K14" i="6"/>
  <c r="D91" i="6" l="1"/>
  <c r="D90" i="6"/>
  <c r="D89" i="6"/>
  <c r="D88" i="6"/>
  <c r="D87" i="6"/>
  <c r="D86" i="6"/>
  <c r="D85" i="6"/>
  <c r="D84" i="6"/>
  <c r="D83" i="6"/>
  <c r="D82" i="6"/>
  <c r="D81" i="6"/>
  <c r="B80" i="6"/>
  <c r="D80" i="6" s="1"/>
  <c r="H56" i="6" l="1"/>
  <c r="M10" i="6" l="1"/>
  <c r="M9" i="6"/>
  <c r="M8" i="6"/>
  <c r="M7" i="6"/>
  <c r="D43" i="6"/>
  <c r="D34" i="6"/>
  <c r="D33" i="6"/>
  <c r="D32" i="6"/>
  <c r="D42" i="6"/>
  <c r="D35" i="6"/>
  <c r="D36" i="6"/>
  <c r="D37" i="6"/>
  <c r="D38" i="6"/>
  <c r="D39" i="6"/>
  <c r="D40" i="6"/>
  <c r="D41" i="6"/>
  <c r="H61" i="6" l="1"/>
  <c r="H60" i="6"/>
  <c r="H59" i="6"/>
  <c r="H58" i="6"/>
  <c r="H64" i="6"/>
  <c r="H57" i="6" l="1"/>
  <c r="H62" i="6"/>
  <c r="H63" i="6"/>
  <c r="H67" i="6"/>
  <c r="H66" i="6"/>
  <c r="M11" i="6"/>
  <c r="H65" i="6"/>
  <c r="M12" i="6"/>
  <c r="G68" i="6"/>
  <c r="G70" i="6" s="1"/>
  <c r="K9" i="6" l="1"/>
  <c r="K13" i="6"/>
  <c r="K10" i="6"/>
  <c r="K11" i="6"/>
  <c r="K12" i="6"/>
  <c r="K7" i="6"/>
  <c r="J7" i="6"/>
  <c r="J12" i="6"/>
  <c r="J10" i="6"/>
  <c r="J11" i="6"/>
  <c r="J13" i="6"/>
  <c r="K8" i="6"/>
  <c r="J9" i="6"/>
  <c r="M15" i="6" l="1"/>
  <c r="M13" i="6"/>
  <c r="M14" i="6"/>
  <c r="M18" i="6"/>
  <c r="M16" i="6"/>
  <c r="M17" i="6"/>
  <c r="K18" i="6"/>
  <c r="K15" i="6"/>
  <c r="K16" i="6"/>
  <c r="J17" i="6"/>
  <c r="J18" i="6"/>
  <c r="J14" i="6"/>
  <c r="J16" i="6"/>
  <c r="K17" i="6"/>
  <c r="F56" i="6"/>
  <c r="F57" i="6"/>
  <c r="F58" i="6"/>
  <c r="F59" i="6"/>
  <c r="F60" i="6"/>
  <c r="F61" i="6"/>
  <c r="F62" i="6"/>
  <c r="F63" i="6"/>
  <c r="F64" i="6"/>
  <c r="F65" i="6"/>
  <c r="F66" i="6"/>
  <c r="F67" i="6"/>
</calcChain>
</file>

<file path=xl/sharedStrings.xml><?xml version="1.0" encoding="utf-8"?>
<sst xmlns="http://schemas.openxmlformats.org/spreadsheetml/2006/main" count="142" uniqueCount="67">
  <si>
    <t>položka</t>
  </si>
  <si>
    <t>Daň z příjmu PO</t>
  </si>
  <si>
    <t>DPH</t>
  </si>
  <si>
    <t>Daň z nemovitosti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</si>
  <si>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</si>
  <si>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</si>
  <si>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</si>
  <si>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</si>
  <si>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</si>
  <si>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</si>
  <si>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</si>
  <si>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</si>
  <si>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</si>
  <si>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</si>
  <si>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 xml:space="preserve">listopad </t>
  </si>
  <si>
    <t>prosinec</t>
  </si>
  <si>
    <t>Daň z příjmu PO za obce</t>
  </si>
  <si>
    <t>údaje v Kč</t>
  </si>
  <si>
    <t>jednotlivé měsíce roku /odvody</t>
  </si>
  <si>
    <t>jednotlivé měsíce roku/daně</t>
  </si>
  <si>
    <t>rozdíl</t>
  </si>
  <si>
    <t>průměr měsíčního plnění</t>
  </si>
  <si>
    <t>plnění v %</t>
  </si>
  <si>
    <t>listopad</t>
  </si>
  <si>
    <t>předpoklad *</t>
  </si>
  <si>
    <t>schválený rozpočet</t>
  </si>
  <si>
    <t>Porovnání plnění vzhledem ke schválenému rozpočtu</t>
  </si>
  <si>
    <t xml:space="preserve">leden </t>
  </si>
  <si>
    <t>Celkem za jednotlivou daň</t>
  </si>
  <si>
    <t>Celkem za daný měsíc</t>
  </si>
  <si>
    <t>…skutečnost je nižší než předpoklad</t>
  </si>
  <si>
    <t>kontrolní číslo</t>
  </si>
  <si>
    <t>Daň z příjmu FO placená plátci</t>
  </si>
  <si>
    <t>Daň z příjmu FO placená poplatníky</t>
  </si>
  <si>
    <t>Daň z příjmu FO vybíraná srážkou</t>
  </si>
  <si>
    <t>skutečnost **</t>
  </si>
  <si>
    <t>** součet za jednotlivé měsíce kumulativně, stav ke konci daného měsíce</t>
  </si>
  <si>
    <t>* předpoklad měsíčního plnění</t>
  </si>
  <si>
    <t>Daň z technických her</t>
  </si>
  <si>
    <t>součet za jednotlivé měsíce</t>
  </si>
  <si>
    <t>…skutečnost je vyšší než předpoklad</t>
  </si>
  <si>
    <r>
      <t xml:space="preserve">Daň z hazardních her </t>
    </r>
    <r>
      <rPr>
        <b/>
        <i/>
        <sz val="10"/>
        <rFont val="Calibri"/>
        <family val="2"/>
        <charset val="238"/>
      </rPr>
      <t>(vč. loterií)</t>
    </r>
  </si>
  <si>
    <t>součet kumulativně</t>
  </si>
  <si>
    <t>DPH - skutečnost 2019</t>
  </si>
  <si>
    <t>Celkem</t>
  </si>
  <si>
    <t>Upravený rozpočet po schválení RO č. 2</t>
  </si>
  <si>
    <t>DPH - skutečnost 2020</t>
  </si>
  <si>
    <t>průměr měsíčního plnění v 2020</t>
  </si>
  <si>
    <t>Schválený rozpočet 2021</t>
  </si>
  <si>
    <t>Upravený rozpočet po schválení RO č. 1 - ZM 24.03.2021</t>
  </si>
  <si>
    <t>* předpoklad měsíčního plnění po schválení RO č. 1</t>
  </si>
  <si>
    <t>Upravený rozpočet po schválení RO č. 2 - ZM 23.03.2021</t>
  </si>
  <si>
    <t>* předpoklad měsíčního plnění po schválení RO č. 2</t>
  </si>
  <si>
    <t>Upravený rozpočet po schválení RO č. 4 - ZM 20.10.2021</t>
  </si>
  <si>
    <t xml:space="preserve">* předpoklad měsíčního plnění po schválení RO č. 1 </t>
  </si>
  <si>
    <t>skutečnost 2021</t>
  </si>
  <si>
    <t>součet 2021 kumulativně</t>
  </si>
  <si>
    <t>DPH - skutečnost 2021</t>
  </si>
  <si>
    <t>DPH - 2022</t>
  </si>
  <si>
    <t>Schválený rozpočet 2022</t>
  </si>
  <si>
    <t>Skutečnost DPH v r. 2019, 2020 a 2021</t>
  </si>
  <si>
    <t>Daň z hazardních her v roce 2022</t>
  </si>
  <si>
    <t>Daňové příjmy v roce 2022</t>
  </si>
  <si>
    <t>2022</t>
  </si>
  <si>
    <t>průměr měsíčního plnění v 2021</t>
  </si>
  <si>
    <t>...skutečnost je vyšší než předpoklad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</si>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</sst>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_K_č"/>
    <numFmt numFmtId="165" formatCode="#,##0.00\ &quot;Kč&quot;"/>
  </numFmts>
  <fonts count="5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u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C4824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theme="0" tint="-0.34998626667073579"/>
      <name val="Calibri"/>
      <family val="2"/>
      <charset val="238"/>
    </font>
    <font>
      <i/>
      <sz val="9"/>
      <name val="Calibri"/>
      <family val="2"/>
      <charset val="238"/>
    </font>
    <font>
      <b/>
      <sz val="10"/>
      <color indexed="22"/>
      <name val="Calibri"/>
      <family val="2"/>
      <charset val="238"/>
    </font>
    <font>
      <b/>
      <sz val="11"/>
      <color theme="8" tint="-0.249977111117893"/>
      <name val="Calibri"/>
      <family val="2"/>
      <charset val="238"/>
    </font>
    <font>
      <b/>
      <u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10.5"/>
      <name val="Calibri"/>
      <family val="2"/>
      <charset val="238"/>
    </font>
    <font>
      <b/>
      <sz val="10"/>
      <color theme="2" tint="-9.9978637043366805E-2"/>
      <name val="Calibri"/>
      <family val="2"/>
      <charset val="238"/>
    </font>
    <font>
      <sz val="10"/>
      <name val="Arial"/>
      <family val="2"/>
      <charset val="238"/>
    </font>
    <font>
      <i/>
      <sz val="8"/>
      <name val="Calibri"/>
      <family val="2"/>
      <charset val="238"/>
    </font>
    <font>
      <b/>
      <sz val="8"/>
      <color theme="2" tint="-0.499984740745262"/>
      <name val="Calibri"/>
      <family val="2"/>
      <charset val="238"/>
    </font>
    <font>
      <b/>
      <sz val="10"/>
      <color theme="1" tint="0.14999847407452621"/>
      <name val="Calibri"/>
      <family val="2"/>
      <charset val="238"/>
    </font>
    <font>
      <b/>
      <sz val="10"/>
      <color theme="1" tint="0.249977111117893"/>
      <name val="Calibri"/>
      <family val="2"/>
      <charset val="238"/>
    </font>
    <font>
      <sz val="10.5"/>
      <color rgb="FF0070C0"/>
      <name val="Calibri"/>
      <family val="2"/>
      <charset val="238"/>
    </font>
    <font>
      <sz val="10"/>
      <color theme="9" tint="-0.249977111117893"/>
      <name val="Calibri"/>
      <family val="2"/>
      <charset val="238"/>
    </font>
    <font>
      <b/>
      <sz val="8"/>
      <name val="Calibri"/>
      <family val="2"/>
      <charset val="238"/>
    </font>
    <font>
      <sz val="10"/>
      <color theme="2" tint="-0.499984740745262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10"/>
      <color rgb="FF0070C0"/>
      <name val="Calibri"/>
      <family val="2"/>
      <charset val="238"/>
    </font>
    <font>
      <b/>
      <sz val="10"/>
      <color theme="0" tint="-0.14999847407452621"/>
      <name val="Calibri"/>
      <family val="2"/>
      <charset val="238"/>
    </font>
    <font>
      <b/>
      <sz val="10"/>
      <color theme="2" tint="-0.499984740745262"/>
      <name val="Calibri"/>
      <family val="2"/>
      <charset val="238"/>
    </font>
    <font>
      <sz val="8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44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08">
    <xf numFmtId="0" fontId="0" fillId="0" borderId="0" xfId="0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19" borderId="15" xfId="0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 wrapText="1"/>
    </xf>
    <xf numFmtId="0" fontId="23" fillId="19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19" borderId="13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0" fontId="26" fillId="19" borderId="17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/>
    </xf>
    <xf numFmtId="164" fontId="22" fillId="0" borderId="28" xfId="0" applyNumberFormat="1" applyFont="1" applyBorder="1" applyAlignment="1">
      <alignment horizontal="center" vertical="center"/>
    </xf>
    <xf numFmtId="164" fontId="22" fillId="22" borderId="26" xfId="0" applyNumberFormat="1" applyFont="1" applyFill="1" applyBorder="1" applyAlignment="1">
      <alignment horizontal="center" vertical="center" wrapText="1"/>
    </xf>
    <xf numFmtId="4" fontId="22" fillId="21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/>
    </xf>
    <xf numFmtId="164" fontId="27" fillId="22" borderId="10" xfId="0" applyNumberFormat="1" applyFont="1" applyFill="1" applyBorder="1" applyAlignment="1">
      <alignment horizontal="center" vertical="center" wrapText="1"/>
    </xf>
    <xf numFmtId="164" fontId="27" fillId="22" borderId="3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 wrapText="1"/>
    </xf>
    <xf numFmtId="164" fontId="30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14" fontId="32" fillId="0" borderId="0" xfId="0" applyNumberFormat="1" applyFont="1" applyAlignment="1">
      <alignment horizontal="left" vertical="center"/>
    </xf>
    <xf numFmtId="4" fontId="33" fillId="0" borderId="0" xfId="0" applyNumberFormat="1" applyFont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left" vertical="center" wrapText="1"/>
    </xf>
    <xf numFmtId="4" fontId="23" fillId="0" borderId="23" xfId="0" applyNumberFormat="1" applyFont="1" applyBorder="1" applyAlignment="1">
      <alignment horizontal="left" vertical="center"/>
    </xf>
    <xf numFmtId="4" fontId="23" fillId="0" borderId="23" xfId="0" applyNumberFormat="1" applyFont="1" applyBorder="1" applyAlignment="1">
      <alignment horizontal="center" vertical="center"/>
    </xf>
    <xf numFmtId="4" fontId="34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4" fontId="22" fillId="21" borderId="27" xfId="0" applyNumberFormat="1" applyFont="1" applyFill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2" fillId="21" borderId="10" xfId="0" applyNumberFormat="1" applyFont="1" applyFill="1" applyBorder="1" applyAlignment="1">
      <alignment horizontal="center" vertical="center" wrapText="1"/>
    </xf>
    <xf numFmtId="4" fontId="22" fillId="21" borderId="14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" fontId="22" fillId="21" borderId="1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9" fontId="22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3" fillId="19" borderId="12" xfId="0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21" borderId="10" xfId="0" applyFont="1" applyFill="1" applyBorder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4" fontId="22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2" fillId="0" borderId="27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164" fontId="39" fillId="0" borderId="0" xfId="0" applyNumberFormat="1" applyFont="1" applyAlignment="1">
      <alignment horizontal="left" vertical="top"/>
    </xf>
    <xf numFmtId="164" fontId="29" fillId="0" borderId="0" xfId="0" applyNumberFormat="1" applyFont="1" applyAlignment="1">
      <alignment horizontal="center" wrapText="1"/>
    </xf>
    <xf numFmtId="4" fontId="23" fillId="0" borderId="0" xfId="83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19" fillId="21" borderId="10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 wrapText="1"/>
    </xf>
    <xf numFmtId="0" fontId="26" fillId="19" borderId="32" xfId="0" applyFont="1" applyFill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left" vertical="center"/>
    </xf>
    <xf numFmtId="0" fontId="27" fillId="22" borderId="12" xfId="0" applyFont="1" applyFill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4" fontId="36" fillId="0" borderId="22" xfId="0" applyNumberFormat="1" applyFont="1" applyBorder="1" applyAlignment="1">
      <alignment horizontal="center" vertical="center"/>
    </xf>
    <xf numFmtId="164" fontId="23" fillId="0" borderId="31" xfId="0" applyNumberFormat="1" applyFont="1" applyBorder="1" applyAlignment="1">
      <alignment horizontal="center" vertical="center"/>
    </xf>
    <xf numFmtId="164" fontId="22" fillId="22" borderId="19" xfId="0" applyNumberFormat="1" applyFont="1" applyFill="1" applyBorder="1" applyAlignment="1">
      <alignment horizontal="center" vertical="center"/>
    </xf>
    <xf numFmtId="164" fontId="19" fillId="22" borderId="19" xfId="0" applyNumberFormat="1" applyFont="1" applyFill="1" applyBorder="1" applyAlignment="1">
      <alignment horizontal="center" vertical="center"/>
    </xf>
    <xf numFmtId="164" fontId="23" fillId="22" borderId="19" xfId="0" applyNumberFormat="1" applyFont="1" applyFill="1" applyBorder="1" applyAlignment="1">
      <alignment horizontal="center" vertical="center"/>
    </xf>
    <xf numFmtId="4" fontId="22" fillId="0" borderId="17" xfId="0" applyNumberFormat="1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/>
    </xf>
    <xf numFmtId="164" fontId="27" fillId="22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/>
    </xf>
    <xf numFmtId="164" fontId="19" fillId="21" borderId="19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21" borderId="14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164" fontId="19" fillId="21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/>
    </xf>
    <xf numFmtId="164" fontId="23" fillId="22" borderId="26" xfId="0" applyNumberFormat="1" applyFont="1" applyFill="1" applyBorder="1" applyAlignment="1">
      <alignment horizontal="center" vertical="center" wrapText="1"/>
    </xf>
    <xf numFmtId="164" fontId="19" fillId="22" borderId="26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Border="1" applyAlignment="1">
      <alignment vertical="center"/>
    </xf>
    <xf numFmtId="164" fontId="23" fillId="22" borderId="23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23" fillId="0" borderId="36" xfId="0" applyFont="1" applyBorder="1" applyAlignment="1">
      <alignment vertical="center"/>
    </xf>
    <xf numFmtId="164" fontId="27" fillId="20" borderId="10" xfId="0" applyNumberFormat="1" applyFont="1" applyFill="1" applyBorder="1" applyAlignment="1">
      <alignment horizontal="center" vertical="center" wrapText="1"/>
    </xf>
    <xf numFmtId="4" fontId="22" fillId="20" borderId="10" xfId="0" applyNumberFormat="1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4" fontId="22" fillId="20" borderId="11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164" fontId="19" fillId="0" borderId="10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44" fillId="18" borderId="11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44" fillId="18" borderId="10" xfId="0" applyFont="1" applyFill="1" applyBorder="1" applyAlignment="1">
      <alignment horizontal="center" vertical="center" wrapText="1"/>
    </xf>
    <xf numFmtId="164" fontId="23" fillId="0" borderId="13" xfId="0" applyNumberFormat="1" applyFont="1" applyFill="1" applyBorder="1" applyAlignment="1">
      <alignment horizontal="center" vertical="center"/>
    </xf>
    <xf numFmtId="4" fontId="34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right" vertical="center"/>
    </xf>
    <xf numFmtId="9" fontId="45" fillId="0" borderId="0" xfId="0" applyNumberFormat="1" applyFont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19" fillId="0" borderId="33" xfId="0" applyNumberFormat="1" applyFont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164" fontId="19" fillId="21" borderId="10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 wrapText="1"/>
    </xf>
    <xf numFmtId="4" fontId="31" fillId="0" borderId="36" xfId="0" applyNumberFormat="1" applyFont="1" applyFill="1" applyBorder="1" applyAlignment="1">
      <alignment horizontal="center" vertical="center" wrapText="1"/>
    </xf>
    <xf numFmtId="164" fontId="31" fillId="0" borderId="13" xfId="0" applyNumberFormat="1" applyFont="1" applyFill="1" applyBorder="1" applyAlignment="1">
      <alignment horizontal="center" vertical="center" wrapText="1"/>
    </xf>
    <xf numFmtId="14" fontId="23" fillId="23" borderId="10" xfId="0" applyNumberFormat="1" applyFont="1" applyFill="1" applyBorder="1" applyAlignment="1">
      <alignment horizontal="center" vertical="center" wrapText="1"/>
    </xf>
    <xf numFmtId="4" fontId="23" fillId="23" borderId="10" xfId="0" applyNumberFormat="1" applyFont="1" applyFill="1" applyBorder="1" applyAlignment="1">
      <alignment horizontal="center" vertical="center" wrapText="1"/>
    </xf>
    <xf numFmtId="4" fontId="22" fillId="23" borderId="19" xfId="0" applyNumberFormat="1" applyFont="1" applyFill="1" applyBorder="1" applyAlignment="1">
      <alignment horizontal="center" vertical="center"/>
    </xf>
    <xf numFmtId="4" fontId="19" fillId="23" borderId="15" xfId="0" applyNumberFormat="1" applyFont="1" applyFill="1" applyBorder="1" applyAlignment="1">
      <alignment horizontal="center" vertical="center"/>
    </xf>
    <xf numFmtId="4" fontId="22" fillId="23" borderId="15" xfId="0" applyNumberFormat="1" applyFont="1" applyFill="1" applyBorder="1" applyAlignment="1">
      <alignment horizontal="center" vertical="center"/>
    </xf>
    <xf numFmtId="4" fontId="23" fillId="23" borderId="10" xfId="0" applyNumberFormat="1" applyFont="1" applyFill="1" applyBorder="1" applyAlignment="1">
      <alignment horizontal="center" vertical="center"/>
    </xf>
    <xf numFmtId="4" fontId="40" fillId="23" borderId="10" xfId="0" applyNumberFormat="1" applyFont="1" applyFill="1" applyBorder="1" applyAlignment="1">
      <alignment horizontal="center" vertical="center" wrapText="1"/>
    </xf>
    <xf numFmtId="164" fontId="22" fillId="23" borderId="26" xfId="0" applyNumberFormat="1" applyFont="1" applyFill="1" applyBorder="1" applyAlignment="1">
      <alignment horizontal="center" vertical="center" wrapText="1"/>
    </xf>
    <xf numFmtId="164" fontId="19" fillId="23" borderId="26" xfId="0" applyNumberFormat="1" applyFont="1" applyFill="1" applyBorder="1" applyAlignment="1">
      <alignment horizontal="center" vertical="center" wrapText="1"/>
    </xf>
    <xf numFmtId="4" fontId="22" fillId="23" borderId="14" xfId="0" applyNumberFormat="1" applyFont="1" applyFill="1" applyBorder="1" applyAlignment="1">
      <alignment horizontal="center" vertical="center"/>
    </xf>
    <xf numFmtId="164" fontId="23" fillId="23" borderId="10" xfId="0" applyNumberFormat="1" applyFont="1" applyFill="1" applyBorder="1" applyAlignment="1">
      <alignment horizontal="center" vertical="center" wrapText="1"/>
    </xf>
    <xf numFmtId="164" fontId="40" fillId="23" borderId="10" xfId="0" applyNumberFormat="1" applyFont="1" applyFill="1" applyBorder="1" applyAlignment="1">
      <alignment horizontal="center" vertical="center" wrapText="1"/>
    </xf>
    <xf numFmtId="4" fontId="23" fillId="23" borderId="12" xfId="0" applyNumberFormat="1" applyFont="1" applyFill="1" applyBorder="1" applyAlignment="1">
      <alignment horizontal="center" vertical="center" wrapText="1"/>
    </xf>
    <xf numFmtId="164" fontId="23" fillId="23" borderId="13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26" fillId="19" borderId="35" xfId="0" applyFont="1" applyFill="1" applyBorder="1" applyAlignment="1">
      <alignment horizontal="center" vertical="center" wrapText="1"/>
    </xf>
    <xf numFmtId="164" fontId="19" fillId="24" borderId="18" xfId="0" applyNumberFormat="1" applyFont="1" applyFill="1" applyBorder="1" applyAlignment="1">
      <alignment horizontal="center" vertical="center" wrapText="1"/>
    </xf>
    <xf numFmtId="164" fontId="47" fillId="22" borderId="13" xfId="0" applyNumberFormat="1" applyFont="1" applyFill="1" applyBorder="1" applyAlignment="1">
      <alignment horizontal="center" vertical="center"/>
    </xf>
    <xf numFmtId="4" fontId="19" fillId="24" borderId="18" xfId="0" applyNumberFormat="1" applyFont="1" applyFill="1" applyBorder="1" applyAlignment="1">
      <alignment horizontal="center" vertical="center"/>
    </xf>
    <xf numFmtId="4" fontId="19" fillId="24" borderId="29" xfId="0" applyNumberFormat="1" applyFont="1" applyFill="1" applyBorder="1" applyAlignment="1">
      <alignment horizontal="center" vertical="center"/>
    </xf>
    <xf numFmtId="4" fontId="23" fillId="23" borderId="13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164" fontId="46" fillId="0" borderId="15" xfId="0" applyNumberFormat="1" applyFont="1" applyFill="1" applyBorder="1" applyAlignment="1">
      <alignment horizontal="center" vertical="center" wrapText="1"/>
    </xf>
    <xf numFmtId="164" fontId="46" fillId="0" borderId="26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 wrapText="1"/>
    </xf>
    <xf numFmtId="4" fontId="19" fillId="24" borderId="21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 wrapText="1"/>
    </xf>
    <xf numFmtId="164" fontId="27" fillId="0" borderId="26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164" fontId="31" fillId="0" borderId="15" xfId="0" applyNumberFormat="1" applyFont="1" applyFill="1" applyBorder="1" applyAlignment="1">
      <alignment horizontal="center" vertical="center" wrapText="1"/>
    </xf>
    <xf numFmtId="9" fontId="23" fillId="0" borderId="13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164" fontId="46" fillId="22" borderId="13" xfId="0" applyNumberFormat="1" applyFont="1" applyFill="1" applyBorder="1" applyAlignment="1">
      <alignment horizontal="center" vertical="center" wrapText="1"/>
    </xf>
    <xf numFmtId="4" fontId="22" fillId="20" borderId="27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vertical="center" wrapText="1"/>
    </xf>
    <xf numFmtId="164" fontId="46" fillId="0" borderId="13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right" vertical="center"/>
    </xf>
    <xf numFmtId="4" fontId="23" fillId="24" borderId="18" xfId="0" applyNumberFormat="1" applyFont="1" applyFill="1" applyBorder="1" applyAlignment="1">
      <alignment horizontal="center" vertical="center"/>
    </xf>
    <xf numFmtId="164" fontId="23" fillId="21" borderId="19" xfId="0" applyNumberFormat="1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3" fillId="21" borderId="22" xfId="0" applyFont="1" applyFill="1" applyBorder="1" applyAlignment="1">
      <alignment horizontal="center" vertical="center" wrapText="1"/>
    </xf>
    <xf numFmtId="0" fontId="23" fillId="21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 horizontal="righ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22" borderId="37" xfId="0" applyFont="1" applyFill="1" applyBorder="1" applyAlignment="1">
      <alignment horizontal="center" vertical="center" wrapText="1"/>
    </xf>
    <xf numFmtId="0" fontId="23" fillId="22" borderId="38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center" vertical="center" wrapText="1"/>
    </xf>
    <xf numFmtId="2" fontId="23" fillId="23" borderId="24" xfId="0" applyNumberFormat="1" applyFont="1" applyFill="1" applyBorder="1" applyAlignment="1">
      <alignment horizontal="center" vertical="center" wrapText="1"/>
    </xf>
    <xf numFmtId="2" fontId="23" fillId="23" borderId="25" xfId="0" applyNumberFormat="1" applyFont="1" applyFill="1" applyBorder="1" applyAlignment="1">
      <alignment horizontal="center" vertical="center" wrapText="1"/>
    </xf>
    <xf numFmtId="0" fontId="23" fillId="23" borderId="10" xfId="0" applyFont="1" applyFill="1" applyBorder="1" applyAlignment="1">
      <alignment horizontal="center" vertical="center" wrapText="1"/>
    </xf>
    <xf numFmtId="165" fontId="23" fillId="23" borderId="14" xfId="0" applyNumberFormat="1" applyFont="1" applyFill="1" applyBorder="1" applyAlignment="1">
      <alignment horizontal="center" vertical="center" wrapText="1"/>
    </xf>
    <xf numFmtId="165" fontId="23" fillId="23" borderId="11" xfId="0" applyNumberFormat="1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0" fontId="23" fillId="22" borderId="16" xfId="0" applyFont="1" applyFill="1" applyBorder="1" applyAlignment="1">
      <alignment horizontal="center" vertical="center" wrapText="1"/>
    </xf>
    <xf numFmtId="0" fontId="23" fillId="22" borderId="2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center"/>
    </xf>
    <xf numFmtId="0" fontId="50" fillId="0" borderId="0" xfId="0" applyFont="1" applyAlignment="1">
      <alignment horizontal="left" vertical="center"/>
    </xf>
  </cellXfs>
  <cellStyles count="86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 % – Zvýraznění 1" xfId="13" builtinId="31" customBuiltin="1"/>
    <cellStyle name="40 % – Zvýraznění 2" xfId="14" builtinId="35" customBuiltin="1"/>
    <cellStyle name="40 % – Zvýraznění 3" xfId="15" builtinId="39" customBuiltin="1"/>
    <cellStyle name="40 % – Zvýraznění 4" xfId="16" builtinId="43" customBuiltin="1"/>
    <cellStyle name="40 % – Zvýraznění 5" xfId="17" builtinId="47" customBuiltin="1"/>
    <cellStyle name="40 % – Zvýraznění 6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 % – Zvýraznění 1" xfId="25" builtinId="32" customBuiltin="1"/>
    <cellStyle name="60 % – Zvýraznění 2" xfId="26" builtinId="36" customBuiltin="1"/>
    <cellStyle name="60 % – Zvýraznění 3" xfId="27" builtinId="40" customBuiltin="1"/>
    <cellStyle name="60 % – Zvýraznění 4" xfId="28" builtinId="44" customBuiltin="1"/>
    <cellStyle name="60 % – Zvýraznění 5" xfId="29" builtinId="48" customBuiltin="1"/>
    <cellStyle name="60 % – Zvýraznění 6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elkem" xfId="45" builtinId="25" customBuiltin="1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Check Cell" xfId="52" xr:uid="{00000000-0005-0000-0000-000033000000}"/>
    <cellStyle name="Chybně" xfId="53" xr:uid="{00000000-0005-0000-0000-000034000000}"/>
    <cellStyle name="Input" xfId="54" xr:uid="{00000000-0005-0000-0000-000035000000}"/>
    <cellStyle name="Kontrolní buňka" xfId="55" builtinId="23" customBuiltin="1"/>
    <cellStyle name="Linked Cell" xfId="56" xr:uid="{00000000-0005-0000-0000-000037000000}"/>
    <cellStyle name="Měna" xfId="83" builtinId="4"/>
    <cellStyle name="Měna 2" xfId="85" xr:uid="{B5A45B05-84E9-41CE-AA39-D8EDD64576E5}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 xr:uid="{00000000-0005-0000-0000-00003E000000}"/>
    <cellStyle name="Neutrální" xfId="63" builtinId="28" customBuiltin="1"/>
    <cellStyle name="Normální" xfId="0" builtinId="0"/>
    <cellStyle name="Normální 2" xfId="84" xr:uid="{FE411F17-F02D-4D56-BE9A-C07623F856DB}"/>
    <cellStyle name="Note" xfId="64" xr:uid="{00000000-0005-0000-0000-000041000000}"/>
    <cellStyle name="Output" xfId="65" xr:uid="{00000000-0005-0000-0000-000042000000}"/>
    <cellStyle name="Poznámka" xfId="66" builtinId="10" customBuiltin="1"/>
    <cellStyle name="Propojená buňka" xfId="67" builtinId="24" customBuiltin="1"/>
    <cellStyle name="Správně" xfId="68" builtinId="26" customBuiltin="1"/>
    <cellStyle name="Text upozornění" xfId="69" builtinId="11" customBuiltin="1"/>
    <cellStyle name="Title" xfId="70" xr:uid="{00000000-0005-0000-0000-000047000000}"/>
    <cellStyle name="Total" xfId="71" xr:uid="{00000000-0005-0000-0000-000048000000}"/>
    <cellStyle name="Vstup" xfId="72" builtinId="20" customBuiltin="1"/>
    <cellStyle name="Výpočet" xfId="73" builtinId="22" customBuiltin="1"/>
    <cellStyle name="Výstup" xfId="74" builtinId="21" customBuiltin="1"/>
    <cellStyle name="Vysvětlující text" xfId="75" builtinId="53" customBuiltin="1"/>
    <cellStyle name="Warning Text" xfId="76" xr:uid="{00000000-0005-0000-0000-00004D000000}"/>
    <cellStyle name="Zvýraznění 1" xfId="77" builtinId="29" customBuiltin="1"/>
    <cellStyle name="Zvýraznění 2" xfId="78" builtinId="33" customBuiltin="1"/>
    <cellStyle name="Zvýraznění 3" xfId="79" builtinId="37" customBuiltin="1"/>
    <cellStyle name="Zvýraznění 4" xfId="80" builtinId="41" customBuiltin="1"/>
    <cellStyle name="Zvýraznění 5" xfId="81" builtinId="45" customBuiltin="1"/>
    <cellStyle name="Zvýraznění 6" xfId="8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FFFF99"/>
      <color rgb="FFFFCCCC"/>
      <color rgb="FFFFFFCC"/>
      <color rgb="FFFF7C80"/>
      <color rgb="FFCCFFCC"/>
      <color rgb="FFFC4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>
    <tabColor rgb="FFFF7C80"/>
  </sheetPr>
  <dimension ref="A1:N99"/>
  <sheetViews>
    <sheetView tabSelected="1" zoomScale="110" zoomScaleNormal="110" zoomScalePageLayoutView="90" workbookViewId="0">
      <selection activeCell="P5" sqref="P5"/>
    </sheetView>
  </sheetViews>
  <sheetFormatPr defaultRowHeight="12.75" x14ac:dyDescent="0.2"/>
  <cols>
    <col min="1" max="1" width="12.85546875" style="3" customWidth="1"/>
    <col min="2" max="2" width="14.42578125" style="3" customWidth="1"/>
    <col min="3" max="3" width="14.85546875" style="3" customWidth="1"/>
    <col min="4" max="4" width="15.28515625" style="3" customWidth="1"/>
    <col min="5" max="5" width="14.28515625" style="3" customWidth="1"/>
    <col min="6" max="6" width="16.42578125" style="3" customWidth="1"/>
    <col min="7" max="7" width="14.42578125" style="3" customWidth="1"/>
    <col min="8" max="8" width="13.5703125" style="3" customWidth="1"/>
    <col min="9" max="9" width="17" style="3" customWidth="1"/>
    <col min="10" max="10" width="14.5703125" style="3" customWidth="1"/>
    <col min="11" max="11" width="14.140625" style="3" customWidth="1"/>
    <col min="12" max="12" width="15.28515625" style="3" customWidth="1"/>
    <col min="13" max="13" width="14.85546875" style="3" customWidth="1"/>
    <col min="14" max="16384" width="9.140625" style="3"/>
  </cols>
  <sheetData>
    <row r="1" spans="1:14" x14ac:dyDescent="0.2">
      <c r="A1" s="207" t="s">
        <v>66</v>
      </c>
      <c r="B1" s="2"/>
      <c r="C1" s="2"/>
      <c r="D1" s="2"/>
      <c r="E1" s="2"/>
      <c r="F1" s="2"/>
      <c r="G1" s="2"/>
    </row>
    <row r="2" spans="1:14" ht="15.75" x14ac:dyDescent="0.2">
      <c r="A2" s="1" t="s">
        <v>62</v>
      </c>
      <c r="N2" s="110"/>
    </row>
    <row r="3" spans="1:14" x14ac:dyDescent="0.2">
      <c r="B3" s="2"/>
      <c r="C3" s="2"/>
      <c r="D3" s="2"/>
      <c r="E3" s="101"/>
      <c r="F3" s="2"/>
      <c r="G3" s="2"/>
      <c r="H3" s="101"/>
      <c r="L3" s="110"/>
      <c r="M3" s="110"/>
    </row>
    <row r="4" spans="1:14" s="80" customFormat="1" x14ac:dyDescent="0.2">
      <c r="A4" s="80" t="s">
        <v>17</v>
      </c>
      <c r="B4" s="190">
        <v>2022</v>
      </c>
      <c r="C4" s="191"/>
      <c r="D4" s="191"/>
      <c r="E4" s="191"/>
      <c r="F4" s="191"/>
      <c r="G4" s="191"/>
      <c r="H4" s="191"/>
      <c r="I4" s="191"/>
      <c r="J4" s="191"/>
      <c r="K4" s="192"/>
      <c r="L4" s="112"/>
      <c r="M4" s="112"/>
      <c r="N4" s="111"/>
    </row>
    <row r="5" spans="1:14" ht="38.25" customHeight="1" x14ac:dyDescent="0.2">
      <c r="A5" s="4" t="s">
        <v>19</v>
      </c>
      <c r="B5" s="5" t="s">
        <v>32</v>
      </c>
      <c r="C5" s="6" t="s">
        <v>33</v>
      </c>
      <c r="D5" s="6" t="s">
        <v>34</v>
      </c>
      <c r="E5" s="6" t="s">
        <v>1</v>
      </c>
      <c r="F5" s="6" t="s">
        <v>16</v>
      </c>
      <c r="G5" s="6" t="s">
        <v>2</v>
      </c>
      <c r="H5" s="7" t="s">
        <v>3</v>
      </c>
      <c r="I5" s="204" t="s">
        <v>29</v>
      </c>
      <c r="J5" s="203" t="s">
        <v>42</v>
      </c>
      <c r="K5" s="185" t="s">
        <v>21</v>
      </c>
      <c r="L5" s="201" t="s">
        <v>55</v>
      </c>
      <c r="M5" s="200" t="s">
        <v>56</v>
      </c>
    </row>
    <row r="6" spans="1:14" ht="14.1" customHeight="1" x14ac:dyDescent="0.2">
      <c r="A6" s="8" t="s">
        <v>0</v>
      </c>
      <c r="B6" s="9">
        <v>1111</v>
      </c>
      <c r="C6" s="10">
        <v>1112</v>
      </c>
      <c r="D6" s="10">
        <v>1113</v>
      </c>
      <c r="E6" s="10">
        <v>1121</v>
      </c>
      <c r="F6" s="10">
        <v>1122</v>
      </c>
      <c r="G6" s="10">
        <v>1211</v>
      </c>
      <c r="H6" s="11">
        <v>1511</v>
      </c>
      <c r="I6" s="205"/>
      <c r="J6" s="203"/>
      <c r="K6" s="186"/>
      <c r="L6" s="202"/>
      <c r="M6" s="200"/>
    </row>
    <row r="7" spans="1:14" ht="14.1" customHeight="1" x14ac:dyDescent="0.2">
      <c r="A7" s="7" t="s">
        <v>4</v>
      </c>
      <c r="B7" s="12">
        <v>2292264.56</v>
      </c>
      <c r="C7" s="13">
        <v>114957.21</v>
      </c>
      <c r="D7" s="13">
        <v>312679.36</v>
      </c>
      <c r="E7" s="13">
        <v>716997.45</v>
      </c>
      <c r="F7" s="14"/>
      <c r="G7" s="15">
        <v>6244942.2400000002</v>
      </c>
      <c r="H7" s="16">
        <v>8923.2099999999991</v>
      </c>
      <c r="I7" s="17">
        <f t="shared" ref="I7:I18" si="0">SUM(B7:H7)</f>
        <v>9690764.0300000012</v>
      </c>
      <c r="J7" s="81">
        <f>SUM(I7)</f>
        <v>9690764.0300000012</v>
      </c>
      <c r="K7" s="158">
        <f>I7/1</f>
        <v>9690764.0300000012</v>
      </c>
      <c r="L7" s="149">
        <v>10147884.83</v>
      </c>
      <c r="M7" s="19">
        <f>L7</f>
        <v>10147884.83</v>
      </c>
    </row>
    <row r="8" spans="1:14" ht="14.1" customHeight="1" x14ac:dyDescent="0.2">
      <c r="A8" s="7" t="s">
        <v>5</v>
      </c>
      <c r="B8" s="20">
        <v>1708443.5</v>
      </c>
      <c r="C8" s="21">
        <v>55882.400000000001</v>
      </c>
      <c r="D8" s="21">
        <v>368392.48</v>
      </c>
      <c r="E8" s="21">
        <v>253009.09</v>
      </c>
      <c r="F8" s="22"/>
      <c r="G8" s="19">
        <v>7665699.6299999999</v>
      </c>
      <c r="H8" s="23">
        <v>25008.89</v>
      </c>
      <c r="I8" s="17">
        <f t="shared" si="0"/>
        <v>10076435.99</v>
      </c>
      <c r="J8" s="81">
        <f>SUM(I7:I8)</f>
        <v>19767200.020000003</v>
      </c>
      <c r="K8" s="158">
        <f>SUM(I7:I8)/2</f>
        <v>9883600.0100000016</v>
      </c>
      <c r="L8" s="149">
        <v>9361908.8800000008</v>
      </c>
      <c r="M8" s="19">
        <f>SUM(L7:L8)</f>
        <v>19509793.710000001</v>
      </c>
    </row>
    <row r="9" spans="1:14" ht="14.1" customHeight="1" x14ac:dyDescent="0.2">
      <c r="A9" s="7" t="s">
        <v>6</v>
      </c>
      <c r="B9" s="20">
        <v>1272255.23</v>
      </c>
      <c r="C9" s="21">
        <v>216641.85</v>
      </c>
      <c r="D9" s="21">
        <v>252063.32</v>
      </c>
      <c r="E9" s="21">
        <v>5076307.3499999996</v>
      </c>
      <c r="F9" s="22"/>
      <c r="G9" s="19">
        <v>3537018.85</v>
      </c>
      <c r="H9" s="104">
        <v>24100.51</v>
      </c>
      <c r="I9" s="17">
        <f t="shared" si="0"/>
        <v>10378387.109999999</v>
      </c>
      <c r="J9" s="81">
        <f>SUM(I7:I9)</f>
        <v>30145587.130000003</v>
      </c>
      <c r="K9" s="158">
        <f>SUM(I7:I9)/3</f>
        <v>10048529.043333335</v>
      </c>
      <c r="L9" s="149">
        <v>9265021.4499999993</v>
      </c>
      <c r="M9" s="19">
        <f>SUM(L7:L9)</f>
        <v>28774815.16</v>
      </c>
    </row>
    <row r="10" spans="1:14" ht="14.1" customHeight="1" x14ac:dyDescent="0.2">
      <c r="A10" s="7" t="s">
        <v>7</v>
      </c>
      <c r="B10" s="20">
        <v>1321392.95</v>
      </c>
      <c r="C10" s="21">
        <v>0</v>
      </c>
      <c r="D10" s="21">
        <v>294694.25</v>
      </c>
      <c r="E10" s="21">
        <v>1345691.58</v>
      </c>
      <c r="F10" s="22"/>
      <c r="G10" s="19">
        <v>5460752.2599999998</v>
      </c>
      <c r="H10" s="104">
        <v>13798.23</v>
      </c>
      <c r="I10" s="17">
        <f t="shared" si="0"/>
        <v>8436329.2699999996</v>
      </c>
      <c r="J10" s="81">
        <f>SUM(I7:I10)</f>
        <v>38581916.400000006</v>
      </c>
      <c r="K10" s="158">
        <f>SUM(I7:I10)/4</f>
        <v>9645479.1000000015</v>
      </c>
      <c r="L10" s="149">
        <v>6043068.96</v>
      </c>
      <c r="M10" s="99">
        <f>SUM(L7:L10)</f>
        <v>34817884.119999997</v>
      </c>
    </row>
    <row r="11" spans="1:14" ht="14.1" customHeight="1" x14ac:dyDescent="0.2">
      <c r="A11" s="7" t="s">
        <v>8</v>
      </c>
      <c r="B11" s="20">
        <v>1546144.23</v>
      </c>
      <c r="C11" s="21">
        <v>0</v>
      </c>
      <c r="D11" s="21">
        <v>333650.17</v>
      </c>
      <c r="E11" s="123">
        <v>698587.1</v>
      </c>
      <c r="F11" s="22"/>
      <c r="G11" s="19">
        <v>8388824.7799999993</v>
      </c>
      <c r="H11" s="23">
        <v>0</v>
      </c>
      <c r="I11" s="17">
        <f t="shared" si="0"/>
        <v>10967206.279999999</v>
      </c>
      <c r="J11" s="102">
        <f>SUM(I7:I11)</f>
        <v>49549122.680000007</v>
      </c>
      <c r="K11" s="158">
        <f>SUM(I7:I11)/5</f>
        <v>9909824.5360000022</v>
      </c>
      <c r="L11" s="149">
        <v>8155724.3499999996</v>
      </c>
      <c r="M11" s="103">
        <f>SUM(L7:L11)</f>
        <v>42973608.469999999</v>
      </c>
    </row>
    <row r="12" spans="1:14" ht="14.1" customHeight="1" x14ac:dyDescent="0.2">
      <c r="A12" s="7" t="s">
        <v>9</v>
      </c>
      <c r="B12" s="20">
        <v>2083053.69</v>
      </c>
      <c r="C12" s="21">
        <v>0</v>
      </c>
      <c r="D12" s="21">
        <v>365255.9</v>
      </c>
      <c r="E12" s="21">
        <v>5517924.9199999999</v>
      </c>
      <c r="F12" s="22"/>
      <c r="G12" s="19">
        <v>5488121.7800000003</v>
      </c>
      <c r="H12" s="23">
        <v>2861419.92</v>
      </c>
      <c r="I12" s="17">
        <f t="shared" si="0"/>
        <v>16315776.209999999</v>
      </c>
      <c r="J12" s="102">
        <f>SUM(I7:I12)</f>
        <v>65864898.890000008</v>
      </c>
      <c r="K12" s="158">
        <f>SUM(I7:I12)/6</f>
        <v>10977483.148333335</v>
      </c>
      <c r="L12" s="149">
        <v>15303045.210000001</v>
      </c>
      <c r="M12" s="22">
        <f>SUM(L7:L12)</f>
        <v>58276653.68</v>
      </c>
    </row>
    <row r="13" spans="1:14" ht="14.1" customHeight="1" x14ac:dyDescent="0.2">
      <c r="A13" s="7" t="s">
        <v>10</v>
      </c>
      <c r="B13" s="20"/>
      <c r="C13" s="21"/>
      <c r="D13" s="21"/>
      <c r="E13" s="21"/>
      <c r="F13" s="21"/>
      <c r="G13" s="24"/>
      <c r="H13" s="23"/>
      <c r="I13" s="17">
        <f t="shared" si="0"/>
        <v>0</v>
      </c>
      <c r="J13" s="102">
        <f>SUM(I7:I13)</f>
        <v>65864898.890000008</v>
      </c>
      <c r="K13" s="158">
        <f>SUM(I7:I13)/7</f>
        <v>9409271.2700000014</v>
      </c>
      <c r="L13" s="149">
        <v>14795226.449999999</v>
      </c>
      <c r="M13" s="103">
        <f>SUM(L7:L13)</f>
        <v>73071880.129999995</v>
      </c>
    </row>
    <row r="14" spans="1:14" ht="14.1" customHeight="1" x14ac:dyDescent="0.2">
      <c r="A14" s="7" t="s">
        <v>11</v>
      </c>
      <c r="B14" s="20"/>
      <c r="C14" s="21"/>
      <c r="D14" s="21"/>
      <c r="E14" s="21"/>
      <c r="F14" s="22"/>
      <c r="G14" s="19"/>
      <c r="H14" s="23"/>
      <c r="I14" s="17">
        <f t="shared" si="0"/>
        <v>0</v>
      </c>
      <c r="J14" s="102">
        <f>SUM(I7:I14)</f>
        <v>65864898.890000008</v>
      </c>
      <c r="K14" s="158">
        <f>SUM(I7:I14)/8</f>
        <v>8233112.361250001</v>
      </c>
      <c r="L14" s="149">
        <v>12075267.42</v>
      </c>
      <c r="M14" s="22">
        <f>SUM(L7:L14)</f>
        <v>85147147.549999997</v>
      </c>
    </row>
    <row r="15" spans="1:14" ht="14.1" customHeight="1" x14ac:dyDescent="0.2">
      <c r="A15" s="7" t="s">
        <v>12</v>
      </c>
      <c r="B15" s="20"/>
      <c r="C15" s="21"/>
      <c r="D15" s="21"/>
      <c r="E15" s="21"/>
      <c r="F15" s="22"/>
      <c r="G15" s="19"/>
      <c r="H15" s="23"/>
      <c r="I15" s="17">
        <f t="shared" si="0"/>
        <v>0</v>
      </c>
      <c r="J15" s="102">
        <f>SUM(I7:I15)</f>
        <v>65864898.890000008</v>
      </c>
      <c r="K15" s="158">
        <f>SUM(I7:I15)/9</f>
        <v>7318322.0988888899</v>
      </c>
      <c r="L15" s="149">
        <v>11451936.439999999</v>
      </c>
      <c r="M15" s="22">
        <f>SUM(L7:L15)</f>
        <v>96599083.989999995</v>
      </c>
    </row>
    <row r="16" spans="1:14" ht="14.1" customHeight="1" x14ac:dyDescent="0.2">
      <c r="A16" s="7" t="s">
        <v>13</v>
      </c>
      <c r="B16" s="20"/>
      <c r="C16" s="21"/>
      <c r="D16" s="21"/>
      <c r="E16" s="21"/>
      <c r="F16" s="22"/>
      <c r="G16" s="19"/>
      <c r="H16" s="23"/>
      <c r="I16" s="106">
        <f t="shared" si="0"/>
        <v>0</v>
      </c>
      <c r="J16" s="102">
        <f>SUM(I7:I16)</f>
        <v>65864898.890000008</v>
      </c>
      <c r="K16" s="158">
        <f>SUM(I7:I16)/10</f>
        <v>6586489.8890000004</v>
      </c>
      <c r="L16" s="149">
        <v>8966694.5800000001</v>
      </c>
      <c r="M16" s="22">
        <f>SUM(L7:L16)</f>
        <v>105565778.56999999</v>
      </c>
    </row>
    <row r="17" spans="1:13" ht="14.1" customHeight="1" x14ac:dyDescent="0.2">
      <c r="A17" s="7" t="s">
        <v>14</v>
      </c>
      <c r="B17" s="20"/>
      <c r="C17" s="21"/>
      <c r="D17" s="21"/>
      <c r="E17" s="21"/>
      <c r="F17" s="22"/>
      <c r="G17" s="19"/>
      <c r="H17" s="23"/>
      <c r="I17" s="106">
        <f t="shared" si="0"/>
        <v>0</v>
      </c>
      <c r="J17" s="102">
        <f>SUM(I7:I17)</f>
        <v>65864898.890000008</v>
      </c>
      <c r="K17" s="158">
        <f>SUM(I7:I17)/11</f>
        <v>5987718.080909092</v>
      </c>
      <c r="L17" s="150">
        <v>10203788.74</v>
      </c>
      <c r="M17" s="19">
        <f>SUM(L7:L17)</f>
        <v>115769567.30999999</v>
      </c>
    </row>
    <row r="18" spans="1:13" ht="14.1" customHeight="1" thickBot="1" x14ac:dyDescent="0.25">
      <c r="A18" s="7" t="s">
        <v>15</v>
      </c>
      <c r="B18" s="20"/>
      <c r="C18" s="21"/>
      <c r="D18" s="21"/>
      <c r="E18" s="21"/>
      <c r="F18" s="22"/>
      <c r="G18" s="19"/>
      <c r="H18" s="23"/>
      <c r="I18" s="105">
        <f t="shared" si="0"/>
        <v>0</v>
      </c>
      <c r="J18" s="102">
        <f>SUM(I7:I18)</f>
        <v>65864898.890000008</v>
      </c>
      <c r="K18" s="158">
        <f>SUM(I7:I18)/12</f>
        <v>5488741.5741666676</v>
      </c>
      <c r="L18" s="151">
        <v>15967489.050000001</v>
      </c>
      <c r="M18" s="25">
        <f>SUM(L7:L18)</f>
        <v>131737056.35999998</v>
      </c>
    </row>
    <row r="19" spans="1:13" ht="30" customHeight="1" thickBot="1" x14ac:dyDescent="0.25">
      <c r="A19" s="26" t="s">
        <v>28</v>
      </c>
      <c r="B19" s="27">
        <f>SUM(B7:B18)</f>
        <v>10223554.16</v>
      </c>
      <c r="C19" s="27">
        <f t="shared" ref="C19:H19" si="1">SUM(C7:C18)</f>
        <v>387481.46</v>
      </c>
      <c r="D19" s="27">
        <f t="shared" si="1"/>
        <v>1926735.48</v>
      </c>
      <c r="E19" s="27">
        <f t="shared" si="1"/>
        <v>13608517.489999998</v>
      </c>
      <c r="F19" s="27">
        <f t="shared" si="1"/>
        <v>0</v>
      </c>
      <c r="G19" s="27">
        <f t="shared" si="1"/>
        <v>36785359.540000007</v>
      </c>
      <c r="H19" s="27">
        <f t="shared" si="1"/>
        <v>2933250.76</v>
      </c>
      <c r="I19" s="28">
        <f>SUM(I7:I18)</f>
        <v>65864898.890000008</v>
      </c>
      <c r="J19" s="78" t="s">
        <v>31</v>
      </c>
      <c r="K19" s="29"/>
      <c r="L19" s="152">
        <f>SUM(L7:L18)</f>
        <v>131737056.35999998</v>
      </c>
    </row>
    <row r="20" spans="1:13" ht="12" customHeight="1" x14ac:dyDescent="0.2">
      <c r="A20" s="30"/>
      <c r="B20" s="31"/>
      <c r="C20" s="31"/>
      <c r="D20" s="31"/>
      <c r="E20" s="31"/>
      <c r="F20" s="31"/>
      <c r="G20" s="31"/>
      <c r="H20" s="31"/>
      <c r="J20" s="32">
        <f>SUM(B19:H19)</f>
        <v>65864898.890000008</v>
      </c>
      <c r="K20" s="33"/>
      <c r="L20" s="36"/>
    </row>
    <row r="21" spans="1:13" ht="33" customHeight="1" x14ac:dyDescent="0.2">
      <c r="A21" s="68" t="s">
        <v>59</v>
      </c>
      <c r="B21" s="174">
        <v>20816000</v>
      </c>
      <c r="C21" s="174">
        <v>1154000</v>
      </c>
      <c r="D21" s="174">
        <v>3540000</v>
      </c>
      <c r="E21" s="174">
        <v>29924000</v>
      </c>
      <c r="F21" s="174"/>
      <c r="G21" s="174">
        <v>67948000</v>
      </c>
      <c r="H21" s="175">
        <v>3609000</v>
      </c>
      <c r="I21" s="176">
        <f>SUM(B21:H21)</f>
        <v>126991000</v>
      </c>
      <c r="J21" s="24"/>
      <c r="K21" s="33"/>
      <c r="L21" s="153">
        <f>L19/12</f>
        <v>10978088.029999999</v>
      </c>
    </row>
    <row r="22" spans="1:13" ht="33" hidden="1" customHeight="1" x14ac:dyDescent="0.2">
      <c r="A22" s="125" t="s">
        <v>49</v>
      </c>
      <c r="B22" s="126"/>
      <c r="C22" s="126"/>
      <c r="D22" s="126"/>
      <c r="E22" s="126"/>
      <c r="F22" s="126"/>
      <c r="G22" s="126"/>
      <c r="H22" s="127"/>
      <c r="I22" s="171"/>
      <c r="J22" s="24"/>
      <c r="K22" s="33"/>
      <c r="L22" s="77" t="s">
        <v>47</v>
      </c>
    </row>
    <row r="23" spans="1:13" ht="27" hidden="1" customHeight="1" x14ac:dyDescent="0.2">
      <c r="A23" s="125" t="s">
        <v>45</v>
      </c>
      <c r="B23" s="126"/>
      <c r="C23" s="139"/>
      <c r="D23" s="139"/>
      <c r="E23" s="139"/>
      <c r="F23" s="139"/>
      <c r="G23" s="139"/>
      <c r="H23" s="140"/>
      <c r="I23" s="141"/>
      <c r="J23" s="124"/>
      <c r="K23" s="128"/>
      <c r="L23" s="34"/>
    </row>
    <row r="24" spans="1:13" ht="33" hidden="1" customHeight="1" x14ac:dyDescent="0.2">
      <c r="A24" s="125" t="s">
        <v>53</v>
      </c>
      <c r="B24" s="126"/>
      <c r="C24" s="139"/>
      <c r="D24" s="139"/>
      <c r="E24" s="139"/>
      <c r="F24" s="139"/>
      <c r="G24" s="139"/>
      <c r="H24" s="140"/>
      <c r="I24" s="141"/>
      <c r="J24" s="124"/>
      <c r="K24" s="128"/>
      <c r="L24" s="34"/>
    </row>
    <row r="25" spans="1:13" ht="15.95" customHeight="1" x14ac:dyDescent="0.2">
      <c r="A25" s="35" t="s">
        <v>22</v>
      </c>
      <c r="B25" s="62">
        <f>B19/B21</f>
        <v>0.49113922751729439</v>
      </c>
      <c r="C25" s="62">
        <f t="shared" ref="C25:I25" si="2">C19/C21</f>
        <v>0.33577249566724438</v>
      </c>
      <c r="D25" s="62">
        <f t="shared" si="2"/>
        <v>0.54427555932203386</v>
      </c>
      <c r="E25" s="62">
        <f t="shared" si="2"/>
        <v>0.45476933197433494</v>
      </c>
      <c r="F25" s="62" t="e">
        <f t="shared" si="2"/>
        <v>#DIV/0!</v>
      </c>
      <c r="G25" s="62">
        <f t="shared" si="2"/>
        <v>0.54137516247718853</v>
      </c>
      <c r="H25" s="62">
        <f t="shared" si="2"/>
        <v>0.81275997783319476</v>
      </c>
      <c r="I25" s="62">
        <f t="shared" si="2"/>
        <v>0.51865800639415394</v>
      </c>
      <c r="J25" s="69"/>
      <c r="K25" s="33"/>
      <c r="L25" s="31"/>
    </row>
    <row r="26" spans="1:13" ht="12" customHeight="1" x14ac:dyDescent="0.2">
      <c r="A26" s="30"/>
      <c r="B26" s="31"/>
      <c r="C26" s="31"/>
      <c r="D26" s="31"/>
      <c r="E26" s="31"/>
      <c r="F26" s="109"/>
      <c r="G26" s="31"/>
      <c r="H26" s="31"/>
      <c r="I26" s="31"/>
      <c r="J26" s="24"/>
      <c r="K26" s="33"/>
      <c r="L26" s="31"/>
    </row>
    <row r="27" spans="1:13" ht="21.95" customHeight="1" x14ac:dyDescent="0.2">
      <c r="A27" s="142" t="s">
        <v>55</v>
      </c>
      <c r="B27" s="143">
        <v>21770382.109999999</v>
      </c>
      <c r="C27" s="143">
        <v>1392047.17</v>
      </c>
      <c r="D27" s="143">
        <v>3610047.17</v>
      </c>
      <c r="E27" s="143">
        <v>30459068.629999999</v>
      </c>
      <c r="F27" s="143">
        <v>2540300</v>
      </c>
      <c r="G27" s="143">
        <v>68122168.189999998</v>
      </c>
      <c r="H27" s="154">
        <v>3843000.4</v>
      </c>
      <c r="I27" s="155">
        <f>SUM(B27:H27)</f>
        <v>131737013.67</v>
      </c>
    </row>
    <row r="28" spans="1:13" ht="18" customHeight="1" x14ac:dyDescent="0.2">
      <c r="A28" s="37"/>
      <c r="B28" s="38"/>
      <c r="C28" s="38"/>
      <c r="D28" s="38"/>
      <c r="E28" s="38"/>
      <c r="F28" s="38"/>
      <c r="G28" s="38"/>
      <c r="H28" s="38"/>
      <c r="I28" s="31"/>
    </row>
    <row r="29" spans="1:13" ht="17.100000000000001" customHeight="1" x14ac:dyDescent="0.2">
      <c r="A29" s="39"/>
      <c r="B29" s="24"/>
      <c r="C29" s="38"/>
      <c r="D29" s="40"/>
      <c r="E29" s="40"/>
      <c r="F29" s="40"/>
      <c r="G29" s="41"/>
    </row>
    <row r="30" spans="1:13" ht="12" customHeight="1" x14ac:dyDescent="0.2">
      <c r="A30" s="43"/>
      <c r="B30" s="44" t="s">
        <v>26</v>
      </c>
      <c r="C30" s="45"/>
      <c r="D30" s="45"/>
      <c r="E30" s="38"/>
      <c r="F30" s="40"/>
      <c r="G30" s="41"/>
      <c r="I30" s="122" t="s">
        <v>60</v>
      </c>
    </row>
    <row r="31" spans="1:13" ht="45" customHeight="1" x14ac:dyDescent="0.2">
      <c r="B31" s="163" t="s">
        <v>24</v>
      </c>
      <c r="C31" s="66" t="s">
        <v>35</v>
      </c>
      <c r="D31" s="65" t="s">
        <v>20</v>
      </c>
      <c r="E31" s="47"/>
      <c r="F31" s="40"/>
      <c r="H31" s="110"/>
      <c r="I31" s="121"/>
      <c r="J31" s="6" t="s">
        <v>58</v>
      </c>
      <c r="K31" s="137" t="s">
        <v>57</v>
      </c>
      <c r="L31" s="137" t="s">
        <v>46</v>
      </c>
      <c r="M31" s="137" t="s">
        <v>43</v>
      </c>
    </row>
    <row r="32" spans="1:13" ht="21.95" customHeight="1" x14ac:dyDescent="0.2">
      <c r="A32" s="36" t="s">
        <v>27</v>
      </c>
      <c r="B32" s="19">
        <f>$C$45*1</f>
        <v>10582583</v>
      </c>
      <c r="C32" s="48">
        <v>9690764.0299999993</v>
      </c>
      <c r="D32" s="49">
        <f t="shared" ref="D32:D43" si="3">C32-B32</f>
        <v>-891818.97000000067</v>
      </c>
      <c r="E32" s="73" t="s">
        <v>30</v>
      </c>
      <c r="F32" s="46"/>
      <c r="I32" s="119" t="s">
        <v>0</v>
      </c>
      <c r="J32" s="10">
        <v>1211</v>
      </c>
      <c r="K32" s="117">
        <v>1211</v>
      </c>
      <c r="L32" s="117">
        <v>1211</v>
      </c>
      <c r="M32" s="117">
        <v>1211</v>
      </c>
    </row>
    <row r="33" spans="1:13" ht="15.75" customHeight="1" x14ac:dyDescent="0.2">
      <c r="A33" s="36" t="s">
        <v>5</v>
      </c>
      <c r="B33" s="19">
        <f>$C$45*2</f>
        <v>21165166</v>
      </c>
      <c r="C33" s="51">
        <v>19767200.02</v>
      </c>
      <c r="D33" s="49">
        <f t="shared" si="3"/>
        <v>-1397965.9800000004</v>
      </c>
      <c r="E33" s="73" t="s">
        <v>30</v>
      </c>
      <c r="F33" s="46"/>
      <c r="I33" s="120" t="s">
        <v>4</v>
      </c>
      <c r="J33" s="15">
        <v>6244942.2400000002</v>
      </c>
      <c r="K33" s="118">
        <v>5255762.3</v>
      </c>
      <c r="L33" s="118">
        <v>5252142.5</v>
      </c>
      <c r="M33" s="118">
        <v>5106371.01</v>
      </c>
    </row>
    <row r="34" spans="1:13" ht="15.75" customHeight="1" x14ac:dyDescent="0.2">
      <c r="A34" s="36" t="s">
        <v>6</v>
      </c>
      <c r="B34" s="19">
        <f>$C$45*3</f>
        <v>31747749</v>
      </c>
      <c r="C34" s="51">
        <v>30292326.23</v>
      </c>
      <c r="D34" s="49">
        <f t="shared" si="3"/>
        <v>-1455422.7699999996</v>
      </c>
      <c r="E34" s="73" t="s">
        <v>30</v>
      </c>
      <c r="F34" s="46"/>
      <c r="I34" s="120" t="s">
        <v>5</v>
      </c>
      <c r="J34" s="19">
        <v>7665699.6299999999</v>
      </c>
      <c r="K34" s="116">
        <v>6870715.8200000003</v>
      </c>
      <c r="L34" s="116">
        <v>6469795.5300000003</v>
      </c>
      <c r="M34" s="116">
        <v>6034716.8700000001</v>
      </c>
    </row>
    <row r="35" spans="1:13" ht="15.75" customHeight="1" x14ac:dyDescent="0.2">
      <c r="A35" s="36" t="s">
        <v>7</v>
      </c>
      <c r="B35" s="19">
        <f>$C$45*4</f>
        <v>42330332</v>
      </c>
      <c r="C35" s="51">
        <v>38581916.399999999</v>
      </c>
      <c r="D35" s="49">
        <f t="shared" si="3"/>
        <v>-3748415.6000000015</v>
      </c>
      <c r="E35" s="73" t="s">
        <v>30</v>
      </c>
      <c r="F35" s="46"/>
      <c r="I35" s="120" t="s">
        <v>6</v>
      </c>
      <c r="J35" s="19">
        <v>3537018.85</v>
      </c>
      <c r="K35" s="116">
        <v>2671503.0099999998</v>
      </c>
      <c r="L35" s="116">
        <v>3369082.48</v>
      </c>
      <c r="M35" s="116">
        <v>2779600.07</v>
      </c>
    </row>
    <row r="36" spans="1:13" ht="15.75" customHeight="1" x14ac:dyDescent="0.2">
      <c r="A36" s="52" t="s">
        <v>8</v>
      </c>
      <c r="B36" s="19">
        <f>$C$45*5</f>
        <v>52912915</v>
      </c>
      <c r="C36" s="18">
        <v>49549122.68</v>
      </c>
      <c r="D36" s="49">
        <f t="shared" si="3"/>
        <v>-3363792.3200000003</v>
      </c>
      <c r="E36" s="73" t="s">
        <v>30</v>
      </c>
      <c r="F36" s="46"/>
      <c r="I36" s="120" t="s">
        <v>7</v>
      </c>
      <c r="J36" s="19">
        <v>5460752.2599999998</v>
      </c>
      <c r="K36" s="116">
        <v>4053519.95</v>
      </c>
      <c r="L36" s="116">
        <v>3372276.48</v>
      </c>
      <c r="M36" s="116">
        <v>3684564.18</v>
      </c>
    </row>
    <row r="37" spans="1:13" ht="15.75" customHeight="1" x14ac:dyDescent="0.2">
      <c r="A37" s="36" t="s">
        <v>9</v>
      </c>
      <c r="B37" s="19">
        <f>$C$45*6</f>
        <v>63495498</v>
      </c>
      <c r="C37" s="81">
        <v>65864898.890000001</v>
      </c>
      <c r="D37" s="25">
        <f t="shared" si="3"/>
        <v>2369400.8900000006</v>
      </c>
      <c r="E37" s="73" t="s">
        <v>40</v>
      </c>
      <c r="F37" s="40"/>
      <c r="I37" s="120" t="s">
        <v>8</v>
      </c>
      <c r="J37" s="19">
        <v>8388824.7799999993</v>
      </c>
      <c r="K37" s="116">
        <v>6733585.4199999999</v>
      </c>
      <c r="L37" s="116">
        <v>4859277.78</v>
      </c>
      <c r="M37" s="116">
        <v>5998392.7199999997</v>
      </c>
    </row>
    <row r="38" spans="1:13" ht="15.75" customHeight="1" x14ac:dyDescent="0.2">
      <c r="A38" s="36" t="s">
        <v>10</v>
      </c>
      <c r="B38" s="19">
        <f>$C$45*7</f>
        <v>74078081</v>
      </c>
      <c r="C38" s="53"/>
      <c r="D38" s="25">
        <f t="shared" si="3"/>
        <v>-74078081</v>
      </c>
      <c r="E38" s="73"/>
      <c r="F38" s="46"/>
      <c r="I38" s="120" t="s">
        <v>9</v>
      </c>
      <c r="J38" s="19">
        <v>5488121.7800000003</v>
      </c>
      <c r="K38" s="116">
        <v>4811765.8</v>
      </c>
      <c r="L38" s="116">
        <v>3191430.85</v>
      </c>
      <c r="M38" s="116">
        <v>4378618.8</v>
      </c>
    </row>
    <row r="39" spans="1:13" ht="15.75" customHeight="1" x14ac:dyDescent="0.2">
      <c r="A39" s="36" t="s">
        <v>11</v>
      </c>
      <c r="B39" s="19">
        <f>$C$45*8</f>
        <v>84660664</v>
      </c>
      <c r="C39" s="18"/>
      <c r="D39" s="49">
        <f t="shared" si="3"/>
        <v>-84660664</v>
      </c>
      <c r="E39" s="73"/>
      <c r="F39" s="46"/>
      <c r="I39" s="120" t="s">
        <v>10</v>
      </c>
      <c r="J39" s="74"/>
      <c r="K39" s="177">
        <v>5796931.3499999996</v>
      </c>
      <c r="L39" s="116">
        <v>4564190.4400000004</v>
      </c>
      <c r="M39" s="116">
        <v>4790309.29</v>
      </c>
    </row>
    <row r="40" spans="1:13" ht="15.75" customHeight="1" x14ac:dyDescent="0.2">
      <c r="A40" s="36" t="s">
        <v>12</v>
      </c>
      <c r="B40" s="19">
        <f>$C$45*9</f>
        <v>95243247</v>
      </c>
      <c r="C40" s="18"/>
      <c r="D40" s="49">
        <f t="shared" si="3"/>
        <v>-95243247</v>
      </c>
      <c r="E40" s="73"/>
      <c r="F40" s="46"/>
      <c r="I40" s="120" t="s">
        <v>11</v>
      </c>
      <c r="J40" s="19"/>
      <c r="K40" s="116">
        <v>7294324.4900000002</v>
      </c>
      <c r="L40" s="116">
        <v>6249409.1500000004</v>
      </c>
      <c r="M40" s="116">
        <v>5994646.1100000003</v>
      </c>
    </row>
    <row r="41" spans="1:13" ht="15.75" customHeight="1" x14ac:dyDescent="0.2">
      <c r="A41" s="36" t="s">
        <v>13</v>
      </c>
      <c r="B41" s="19">
        <f>$C$45*10</f>
        <v>105825830</v>
      </c>
      <c r="C41" s="18"/>
      <c r="D41" s="49">
        <f t="shared" si="3"/>
        <v>-105825830</v>
      </c>
      <c r="E41" s="73"/>
      <c r="F41" s="46"/>
      <c r="I41" s="120" t="s">
        <v>12</v>
      </c>
      <c r="J41" s="19"/>
      <c r="K41" s="116">
        <v>4526669.63</v>
      </c>
      <c r="L41" s="116">
        <v>4552347.4800000004</v>
      </c>
      <c r="M41" s="116">
        <v>4031142.81</v>
      </c>
    </row>
    <row r="42" spans="1:13" ht="15.75" customHeight="1" x14ac:dyDescent="0.2">
      <c r="A42" s="36" t="s">
        <v>23</v>
      </c>
      <c r="B42" s="19">
        <f>$C$45*11</f>
        <v>116408413</v>
      </c>
      <c r="C42" s="18"/>
      <c r="D42" s="49">
        <f t="shared" si="3"/>
        <v>-116408413</v>
      </c>
      <c r="E42" s="73"/>
      <c r="F42" s="46"/>
      <c r="I42" s="120" t="s">
        <v>13</v>
      </c>
      <c r="J42" s="19"/>
      <c r="K42" s="116">
        <v>5564919.0700000003</v>
      </c>
      <c r="L42" s="116">
        <v>4626008.59</v>
      </c>
      <c r="M42" s="116">
        <v>4400002.55</v>
      </c>
    </row>
    <row r="43" spans="1:13" ht="15.75" customHeight="1" x14ac:dyDescent="0.2">
      <c r="A43" s="36" t="s">
        <v>15</v>
      </c>
      <c r="B43" s="19">
        <f>$C$45*12</f>
        <v>126990996</v>
      </c>
      <c r="C43" s="18"/>
      <c r="D43" s="49">
        <f t="shared" si="3"/>
        <v>-126990996</v>
      </c>
      <c r="E43" s="73"/>
      <c r="F43" s="46"/>
      <c r="I43" s="120" t="s">
        <v>14</v>
      </c>
      <c r="J43" s="19"/>
      <c r="K43" s="116">
        <v>7698895.7300000004</v>
      </c>
      <c r="L43" s="116">
        <v>6621002.2300000004</v>
      </c>
      <c r="M43" s="116">
        <v>6563125.0199999996</v>
      </c>
    </row>
    <row r="44" spans="1:13" ht="15.75" customHeight="1" x14ac:dyDescent="0.2">
      <c r="A44" s="206" t="s">
        <v>25</v>
      </c>
      <c r="B44" s="206"/>
      <c r="C44" s="178">
        <v>126991000</v>
      </c>
      <c r="D44" s="55"/>
      <c r="E44" s="55"/>
      <c r="F44" s="46"/>
      <c r="I44" s="120" t="s">
        <v>15</v>
      </c>
      <c r="J44" s="19"/>
      <c r="K44" s="116">
        <v>6843575.6200000001</v>
      </c>
      <c r="L44" s="116">
        <v>5248774.17</v>
      </c>
      <c r="M44" s="116">
        <v>5317639.09</v>
      </c>
    </row>
    <row r="45" spans="1:13" ht="35.25" customHeight="1" x14ac:dyDescent="0.2">
      <c r="A45" s="189" t="s">
        <v>37</v>
      </c>
      <c r="B45" s="189"/>
      <c r="C45" s="179">
        <v>10582583</v>
      </c>
      <c r="D45" s="55"/>
      <c r="E45" s="55"/>
      <c r="F45" s="46"/>
      <c r="I45" s="86" t="s">
        <v>44</v>
      </c>
      <c r="J45" s="27">
        <f t="shared" ref="J45:K45" si="4">SUM(J33:J44)</f>
        <v>36785359.540000007</v>
      </c>
      <c r="K45" s="115">
        <f t="shared" si="4"/>
        <v>68122168.190000013</v>
      </c>
      <c r="L45" s="115">
        <f>SUM(L33:L44)</f>
        <v>58375737.680000022</v>
      </c>
      <c r="M45" s="115">
        <f>SUM(M33:M44)</f>
        <v>59079128.519999996</v>
      </c>
    </row>
    <row r="46" spans="1:13" ht="35.25" hidden="1" customHeight="1" x14ac:dyDescent="0.2">
      <c r="A46" s="189" t="s">
        <v>54</v>
      </c>
      <c r="B46" s="189"/>
      <c r="C46" s="166">
        <f>I22/12</f>
        <v>0</v>
      </c>
      <c r="D46" s="133"/>
      <c r="E46" s="55"/>
      <c r="F46" s="46"/>
      <c r="I46" s="134"/>
      <c r="J46" s="135"/>
      <c r="K46" s="135"/>
      <c r="L46" s="135"/>
    </row>
    <row r="47" spans="1:13" ht="24" customHeight="1" x14ac:dyDescent="0.2">
      <c r="A47" s="72" t="s">
        <v>36</v>
      </c>
      <c r="B47" s="180"/>
      <c r="C47" s="82"/>
      <c r="D47" s="133"/>
      <c r="E47" s="55"/>
      <c r="F47" s="46"/>
      <c r="I47" s="134"/>
      <c r="J47" s="135"/>
      <c r="K47" s="135"/>
      <c r="L47" s="135"/>
    </row>
    <row r="48" spans="1:13" ht="15.75" customHeight="1" x14ac:dyDescent="0.2">
      <c r="B48" s="24"/>
      <c r="C48" s="54"/>
      <c r="E48" s="38"/>
      <c r="F48" s="46"/>
    </row>
    <row r="49" spans="1:11" x14ac:dyDescent="0.2">
      <c r="A49" s="37"/>
      <c r="B49" s="38"/>
      <c r="C49" s="38"/>
      <c r="D49" s="38"/>
      <c r="E49" s="38"/>
      <c r="F49" s="38"/>
      <c r="G49" s="38"/>
      <c r="H49" s="38"/>
      <c r="I49" s="31"/>
      <c r="K49" s="31"/>
    </row>
    <row r="50" spans="1:11" ht="15.75" x14ac:dyDescent="0.2">
      <c r="A50" s="1" t="s">
        <v>61</v>
      </c>
      <c r="B50" s="24"/>
      <c r="D50" s="57"/>
      <c r="E50" s="56"/>
      <c r="F50" s="56"/>
      <c r="G50" s="56"/>
      <c r="H50" s="56"/>
      <c r="I50" s="56"/>
      <c r="J50" s="56"/>
      <c r="K50" s="56"/>
    </row>
    <row r="51" spans="1:11" ht="15.75" x14ac:dyDescent="0.2">
      <c r="A51" s="1"/>
      <c r="B51" s="24"/>
      <c r="D51" s="57"/>
      <c r="E51" s="56"/>
      <c r="F51" s="56"/>
      <c r="G51" s="56"/>
      <c r="H51" s="56"/>
      <c r="I51" s="56"/>
      <c r="J51" s="56"/>
      <c r="K51" s="56"/>
    </row>
    <row r="52" spans="1:11" ht="15.75" customHeight="1" x14ac:dyDescent="0.2">
      <c r="A52" s="1"/>
      <c r="B52" s="24"/>
      <c r="C52" s="88"/>
      <c r="E52" s="56"/>
      <c r="F52" s="56"/>
      <c r="G52" s="113"/>
      <c r="H52" s="56"/>
      <c r="I52" s="113"/>
      <c r="J52" s="56"/>
      <c r="K52" s="56"/>
    </row>
    <row r="53" spans="1:11" s="80" customFormat="1" x14ac:dyDescent="0.2">
      <c r="A53" s="80" t="s">
        <v>17</v>
      </c>
      <c r="B53" s="193" t="s">
        <v>63</v>
      </c>
      <c r="C53" s="193"/>
      <c r="D53" s="193"/>
      <c r="E53" s="193"/>
      <c r="F53" s="193"/>
      <c r="G53" s="114"/>
      <c r="H53" s="112"/>
      <c r="I53" s="111"/>
      <c r="J53" s="111"/>
    </row>
    <row r="54" spans="1:11" ht="38.25" customHeight="1" x14ac:dyDescent="0.2">
      <c r="A54" s="4" t="s">
        <v>18</v>
      </c>
      <c r="B54" s="58" t="s">
        <v>41</v>
      </c>
      <c r="C54" s="7" t="s">
        <v>38</v>
      </c>
      <c r="D54" s="194" t="s">
        <v>39</v>
      </c>
      <c r="E54" s="187" t="s">
        <v>42</v>
      </c>
      <c r="F54" s="185" t="s">
        <v>21</v>
      </c>
      <c r="G54" s="198" t="s">
        <v>55</v>
      </c>
      <c r="H54" s="196" t="s">
        <v>56</v>
      </c>
    </row>
    <row r="55" spans="1:11" ht="15" customHeight="1" x14ac:dyDescent="0.2">
      <c r="A55" s="8" t="s">
        <v>0</v>
      </c>
      <c r="B55" s="83">
        <v>1381</v>
      </c>
      <c r="C55" s="157">
        <v>1385</v>
      </c>
      <c r="D55" s="195"/>
      <c r="E55" s="188"/>
      <c r="F55" s="186"/>
      <c r="G55" s="199"/>
      <c r="H55" s="197"/>
    </row>
    <row r="56" spans="1:11" ht="14.1" customHeight="1" x14ac:dyDescent="0.2">
      <c r="A56" s="58" t="s">
        <v>4</v>
      </c>
      <c r="B56" s="156">
        <v>2716.08</v>
      </c>
      <c r="C56" s="94">
        <v>0</v>
      </c>
      <c r="D56" s="91">
        <f>SUM(B56:C56)</f>
        <v>2716.08</v>
      </c>
      <c r="E56" s="98">
        <f>D56</f>
        <v>2716.08</v>
      </c>
      <c r="F56" s="167">
        <f>E56/1</f>
        <v>2716.08</v>
      </c>
      <c r="G56" s="144">
        <v>60352.26</v>
      </c>
      <c r="H56" s="15">
        <f>SUM(G56)</f>
        <v>60352.26</v>
      </c>
    </row>
    <row r="57" spans="1:11" ht="14.1" customHeight="1" x14ac:dyDescent="0.2">
      <c r="A57" s="58" t="s">
        <v>5</v>
      </c>
      <c r="B57" s="84">
        <v>301619.96999999997</v>
      </c>
      <c r="C57" s="97">
        <v>0</v>
      </c>
      <c r="D57" s="92">
        <f t="shared" ref="D57:D68" si="5">SUM(B57:C57)</f>
        <v>301619.96999999997</v>
      </c>
      <c r="E57" s="98">
        <f>SUM($D$56:D57)</f>
        <v>304336.05</v>
      </c>
      <c r="F57" s="160">
        <f>E57/2</f>
        <v>152168.02499999999</v>
      </c>
      <c r="G57" s="145">
        <v>213744.58</v>
      </c>
      <c r="H57" s="99">
        <f>SUM(G56:G57)</f>
        <v>274096.83999999997</v>
      </c>
    </row>
    <row r="58" spans="1:11" ht="14.1" customHeight="1" x14ac:dyDescent="0.2">
      <c r="A58" s="58" t="s">
        <v>6</v>
      </c>
      <c r="B58" s="84">
        <v>1294.0899999999999</v>
      </c>
      <c r="C58" s="94">
        <v>0</v>
      </c>
      <c r="D58" s="92">
        <f t="shared" si="5"/>
        <v>1294.0899999999999</v>
      </c>
      <c r="E58" s="98">
        <f>SUM($D$56:D58)</f>
        <v>305630.14</v>
      </c>
      <c r="F58" s="160">
        <f>E58/3</f>
        <v>101876.71333333333</v>
      </c>
      <c r="G58" s="146">
        <v>1190.9100000000001</v>
      </c>
      <c r="H58" s="19">
        <f>SUM(G56:G58)</f>
        <v>275287.74999999994</v>
      </c>
    </row>
    <row r="59" spans="1:11" ht="14.1" customHeight="1" x14ac:dyDescent="0.2">
      <c r="A59" s="58" t="s">
        <v>7</v>
      </c>
      <c r="B59" s="84">
        <v>1087.93</v>
      </c>
      <c r="C59" s="94">
        <v>0</v>
      </c>
      <c r="D59" s="91">
        <f t="shared" si="5"/>
        <v>1087.93</v>
      </c>
      <c r="E59" s="98">
        <f>SUM($D$56:D59)</f>
        <v>306718.07</v>
      </c>
      <c r="F59" s="160">
        <f>E59/4</f>
        <v>76679.517500000002</v>
      </c>
      <c r="G59" s="146">
        <v>0</v>
      </c>
      <c r="H59" s="99">
        <f>SUM(G56:G59)</f>
        <v>275287.74999999994</v>
      </c>
    </row>
    <row r="60" spans="1:11" ht="14.1" customHeight="1" x14ac:dyDescent="0.2">
      <c r="A60" s="58" t="s">
        <v>8</v>
      </c>
      <c r="B60" s="84">
        <v>278875.81</v>
      </c>
      <c r="C60" s="94">
        <v>0</v>
      </c>
      <c r="D60" s="91">
        <f t="shared" si="5"/>
        <v>278875.81</v>
      </c>
      <c r="E60" s="184">
        <f>SUM($D$56:D60)</f>
        <v>585593.88</v>
      </c>
      <c r="F60" s="183">
        <f>E60/5</f>
        <v>117118.776</v>
      </c>
      <c r="G60" s="146">
        <v>174587.99</v>
      </c>
      <c r="H60" s="99">
        <f>SUM(G56:G60)</f>
        <v>449875.73999999993</v>
      </c>
    </row>
    <row r="61" spans="1:11" ht="14.1" customHeight="1" x14ac:dyDescent="0.2">
      <c r="A61" s="58" t="s">
        <v>9</v>
      </c>
      <c r="B61" s="136">
        <v>0</v>
      </c>
      <c r="C61" s="97">
        <v>0</v>
      </c>
      <c r="D61" s="92">
        <f t="shared" si="5"/>
        <v>0</v>
      </c>
      <c r="E61" s="98">
        <f>SUM($D$56:D61)</f>
        <v>585593.88</v>
      </c>
      <c r="F61" s="160">
        <f>E61/6</f>
        <v>97598.98</v>
      </c>
      <c r="G61" s="146">
        <v>0</v>
      </c>
      <c r="H61" s="107">
        <f>SUM(G56:G61)</f>
        <v>449875.73999999993</v>
      </c>
    </row>
    <row r="62" spans="1:11" ht="14.1" customHeight="1" x14ac:dyDescent="0.2">
      <c r="A62" s="58" t="s">
        <v>10</v>
      </c>
      <c r="B62" s="84"/>
      <c r="C62" s="94"/>
      <c r="D62" s="91">
        <f t="shared" si="5"/>
        <v>0</v>
      </c>
      <c r="E62" s="98">
        <f>SUM($D$56:D62)</f>
        <v>585593.88</v>
      </c>
      <c r="F62" s="160">
        <f>E62/7</f>
        <v>83656.268571428576</v>
      </c>
      <c r="G62" s="146">
        <v>1106.7</v>
      </c>
      <c r="H62" s="107">
        <f>SUM(G56:G62)</f>
        <v>450982.43999999994</v>
      </c>
    </row>
    <row r="63" spans="1:11" ht="14.1" customHeight="1" x14ac:dyDescent="0.2">
      <c r="A63" s="58" t="s">
        <v>11</v>
      </c>
      <c r="B63" s="84"/>
      <c r="C63" s="94"/>
      <c r="D63" s="91">
        <f t="shared" si="5"/>
        <v>0</v>
      </c>
      <c r="E63" s="98">
        <f>SUM($D$56:D63)</f>
        <v>585593.88</v>
      </c>
      <c r="F63" s="160">
        <f>E63/8</f>
        <v>73199.235000000001</v>
      </c>
      <c r="G63" s="145">
        <v>256309</v>
      </c>
      <c r="H63" s="173">
        <f>SUM(G56:G63)</f>
        <v>707291.44</v>
      </c>
    </row>
    <row r="64" spans="1:11" ht="14.1" customHeight="1" x14ac:dyDescent="0.2">
      <c r="A64" s="58" t="s">
        <v>12</v>
      </c>
      <c r="B64" s="84"/>
      <c r="C64" s="94"/>
      <c r="D64" s="91">
        <f t="shared" si="5"/>
        <v>0</v>
      </c>
      <c r="E64" s="98">
        <f>SUM($D$56:D64)</f>
        <v>585593.88</v>
      </c>
      <c r="F64" s="160">
        <f>E64/9</f>
        <v>65065.986666666664</v>
      </c>
      <c r="G64" s="146">
        <v>0</v>
      </c>
      <c r="H64" s="107">
        <f>SUM(G56:G64)</f>
        <v>707291.44</v>
      </c>
    </row>
    <row r="65" spans="1:12" ht="14.1" customHeight="1" x14ac:dyDescent="0.2">
      <c r="A65" s="58" t="s">
        <v>13</v>
      </c>
      <c r="B65" s="84"/>
      <c r="C65" s="94"/>
      <c r="D65" s="91">
        <f t="shared" si="5"/>
        <v>0</v>
      </c>
      <c r="E65" s="98">
        <f>SUM($D$56:D65)</f>
        <v>585593.88</v>
      </c>
      <c r="F65" s="160">
        <f>E65/10</f>
        <v>58559.387999999999</v>
      </c>
      <c r="G65" s="146">
        <v>0</v>
      </c>
      <c r="H65" s="107">
        <f>SUM(G56:G65)</f>
        <v>707291.44</v>
      </c>
    </row>
    <row r="66" spans="1:12" ht="14.1" customHeight="1" x14ac:dyDescent="0.2">
      <c r="A66" s="58" t="s">
        <v>14</v>
      </c>
      <c r="B66" s="84"/>
      <c r="C66" s="94"/>
      <c r="D66" s="92">
        <f t="shared" si="5"/>
        <v>0</v>
      </c>
      <c r="E66" s="138">
        <f>SUM($D$56:D66)</f>
        <v>585593.88</v>
      </c>
      <c r="F66" s="160">
        <f>E66/11</f>
        <v>53235.807272727274</v>
      </c>
      <c r="G66" s="145">
        <v>242781.19</v>
      </c>
      <c r="H66" s="99">
        <f>SUM(G56:G66)</f>
        <v>950072.62999999989</v>
      </c>
    </row>
    <row r="67" spans="1:12" ht="14.1" customHeight="1" x14ac:dyDescent="0.2">
      <c r="A67" s="58" t="s">
        <v>15</v>
      </c>
      <c r="B67" s="87"/>
      <c r="C67" s="95"/>
      <c r="D67" s="108">
        <f t="shared" si="5"/>
        <v>0</v>
      </c>
      <c r="E67" s="138">
        <f>SUM($D$56:D67)</f>
        <v>585593.88</v>
      </c>
      <c r="F67" s="161">
        <f>E67/12</f>
        <v>48799.49</v>
      </c>
      <c r="G67" s="146">
        <v>1682.5</v>
      </c>
      <c r="H67" s="25">
        <f>SUM(G56:G67)</f>
        <v>951755.12999999989</v>
      </c>
    </row>
    <row r="68" spans="1:12" ht="45" customHeight="1" x14ac:dyDescent="0.2">
      <c r="A68" s="86" t="s">
        <v>28</v>
      </c>
      <c r="B68" s="27">
        <f>SUM(B56:B67)</f>
        <v>585593.88</v>
      </c>
      <c r="C68" s="96">
        <f>SUM(C56:C67)</f>
        <v>0</v>
      </c>
      <c r="D68" s="93">
        <f t="shared" si="5"/>
        <v>585593.88</v>
      </c>
      <c r="E68" s="90"/>
      <c r="F68" s="89"/>
      <c r="G68" s="147">
        <f>SUM(G56:G67)</f>
        <v>951755.12999999989</v>
      </c>
    </row>
    <row r="69" spans="1:12" ht="12.95" customHeight="1" x14ac:dyDescent="0.2">
      <c r="A69" s="71"/>
      <c r="B69" s="70"/>
      <c r="F69" s="59"/>
      <c r="G69" s="25"/>
    </row>
    <row r="70" spans="1:12" ht="33" customHeight="1" x14ac:dyDescent="0.2">
      <c r="A70" s="68" t="s">
        <v>48</v>
      </c>
      <c r="B70" s="181">
        <v>500000</v>
      </c>
      <c r="C70" s="181">
        <v>0</v>
      </c>
      <c r="D70" s="159">
        <f>SUM(B70:C70)</f>
        <v>500000</v>
      </c>
      <c r="F70" s="30"/>
      <c r="G70" s="148">
        <f>G68/12</f>
        <v>79312.927499999991</v>
      </c>
    </row>
    <row r="71" spans="1:12" ht="33" hidden="1" customHeight="1" x14ac:dyDescent="0.2">
      <c r="A71" s="129" t="s">
        <v>49</v>
      </c>
      <c r="B71" s="168"/>
      <c r="C71" s="169"/>
      <c r="D71" s="130"/>
      <c r="F71" s="30"/>
      <c r="G71" s="77" t="s">
        <v>64</v>
      </c>
    </row>
    <row r="72" spans="1:12" ht="33" hidden="1" customHeight="1" x14ac:dyDescent="0.2">
      <c r="A72" s="129" t="s">
        <v>51</v>
      </c>
      <c r="B72" s="168"/>
      <c r="C72" s="169"/>
      <c r="D72" s="130">
        <f>SUM(B72:C72)</f>
        <v>0</v>
      </c>
      <c r="F72" s="30"/>
      <c r="G72" s="77"/>
    </row>
    <row r="73" spans="1:12" ht="33" hidden="1" customHeight="1" x14ac:dyDescent="0.2">
      <c r="A73" s="125" t="s">
        <v>53</v>
      </c>
      <c r="B73" s="164"/>
      <c r="C73" s="165"/>
      <c r="D73" s="130">
        <f>SUM(B73:C73)</f>
        <v>0</v>
      </c>
      <c r="F73" s="30"/>
      <c r="G73" s="77"/>
    </row>
    <row r="74" spans="1:12" s="63" customFormat="1" ht="24" customHeight="1" x14ac:dyDescent="0.2">
      <c r="A74" s="60" t="s">
        <v>22</v>
      </c>
      <c r="B74" s="62">
        <f>B68/B70</f>
        <v>1.17118776</v>
      </c>
      <c r="C74" s="62" t="e">
        <f>C68/C70</f>
        <v>#DIV/0!</v>
      </c>
      <c r="D74" s="172" t="e">
        <f>D68/D73</f>
        <v>#DIV/0!</v>
      </c>
      <c r="E74" s="61"/>
      <c r="F74" s="3"/>
      <c r="H74" s="76"/>
      <c r="K74" s="3"/>
      <c r="L74" s="3"/>
    </row>
    <row r="75" spans="1:12" ht="15.75" customHeight="1" x14ac:dyDescent="0.2">
      <c r="C75" s="64"/>
      <c r="E75" s="79"/>
      <c r="F75" s="76"/>
    </row>
    <row r="76" spans="1:12" ht="24" customHeight="1" x14ac:dyDescent="0.2">
      <c r="A76" s="142" t="s">
        <v>55</v>
      </c>
      <c r="B76" s="143">
        <v>951704.26</v>
      </c>
      <c r="C76" s="154">
        <v>50.87</v>
      </c>
      <c r="D76" s="162">
        <f>SUM(B76:C76)</f>
        <v>951755.13</v>
      </c>
      <c r="E76" s="79"/>
      <c r="F76" s="76"/>
    </row>
    <row r="77" spans="1:12" ht="24" customHeight="1" x14ac:dyDescent="0.2">
      <c r="C77" s="64"/>
      <c r="E77" s="79"/>
      <c r="F77" s="76"/>
    </row>
    <row r="78" spans="1:12" ht="19.5" customHeight="1" x14ac:dyDescent="0.2">
      <c r="A78" s="85" t="s">
        <v>26</v>
      </c>
      <c r="B78" s="45"/>
      <c r="C78" s="45"/>
      <c r="D78" s="38"/>
      <c r="E78" s="80"/>
      <c r="G78" s="42"/>
    </row>
    <row r="79" spans="1:12" ht="16.5" customHeight="1" x14ac:dyDescent="0.2">
      <c r="B79" s="65" t="s">
        <v>24</v>
      </c>
      <c r="C79" s="66" t="s">
        <v>35</v>
      </c>
      <c r="D79" s="65" t="s">
        <v>20</v>
      </c>
      <c r="E79" s="47"/>
    </row>
    <row r="80" spans="1:12" ht="17.100000000000001" customHeight="1" x14ac:dyDescent="0.2">
      <c r="A80" s="36" t="s">
        <v>4</v>
      </c>
      <c r="B80" s="74">
        <f>C93*1</f>
        <v>41667</v>
      </c>
      <c r="C80" s="48">
        <v>2716.08</v>
      </c>
      <c r="D80" s="49">
        <f t="shared" ref="D80:D91" si="6">C80-B80</f>
        <v>-38950.92</v>
      </c>
      <c r="E80" s="73" t="s">
        <v>30</v>
      </c>
    </row>
    <row r="81" spans="1:6" ht="17.100000000000001" customHeight="1" x14ac:dyDescent="0.2">
      <c r="A81" s="36" t="s">
        <v>5</v>
      </c>
      <c r="B81" s="75">
        <f>$C$93*2</f>
        <v>83334</v>
      </c>
      <c r="C81" s="100">
        <v>304336.05</v>
      </c>
      <c r="D81" s="25">
        <f t="shared" si="6"/>
        <v>221002.05</v>
      </c>
      <c r="E81" s="73" t="s">
        <v>65</v>
      </c>
    </row>
    <row r="82" spans="1:6" ht="15.95" customHeight="1" x14ac:dyDescent="0.2">
      <c r="A82" s="36" t="s">
        <v>6</v>
      </c>
      <c r="B82" s="75">
        <f>$C$93*3</f>
        <v>125001</v>
      </c>
      <c r="C82" s="100">
        <v>305630.14</v>
      </c>
      <c r="D82" s="25">
        <f t="shared" si="6"/>
        <v>180629.14</v>
      </c>
      <c r="E82" s="73" t="s">
        <v>65</v>
      </c>
      <c r="F82" s="40"/>
    </row>
    <row r="83" spans="1:6" ht="18" customHeight="1" x14ac:dyDescent="0.2">
      <c r="A83" s="36" t="s">
        <v>7</v>
      </c>
      <c r="B83" s="75">
        <f>$C$93*4</f>
        <v>166668</v>
      </c>
      <c r="C83" s="51">
        <v>306718.07</v>
      </c>
      <c r="D83" s="25">
        <f t="shared" si="6"/>
        <v>140050.07</v>
      </c>
      <c r="E83" s="73" t="s">
        <v>65</v>
      </c>
      <c r="F83" s="131"/>
    </row>
    <row r="84" spans="1:6" ht="15.75" customHeight="1" x14ac:dyDescent="0.2">
      <c r="A84" s="36" t="s">
        <v>8</v>
      </c>
      <c r="B84" s="75">
        <f>$C$93*5</f>
        <v>208335</v>
      </c>
      <c r="C84" s="18">
        <v>585593.88</v>
      </c>
      <c r="D84" s="25">
        <f t="shared" si="6"/>
        <v>377258.88</v>
      </c>
      <c r="E84" s="73" t="s">
        <v>65</v>
      </c>
      <c r="F84" s="46"/>
    </row>
    <row r="85" spans="1:6" ht="15.75" customHeight="1" x14ac:dyDescent="0.2">
      <c r="A85" s="36" t="s">
        <v>9</v>
      </c>
      <c r="B85" s="75">
        <f>$C$93*6</f>
        <v>250002</v>
      </c>
      <c r="C85" s="18">
        <v>585593.88</v>
      </c>
      <c r="D85" s="25">
        <f t="shared" si="6"/>
        <v>335591.88</v>
      </c>
      <c r="E85" s="73" t="s">
        <v>40</v>
      </c>
      <c r="F85" s="46"/>
    </row>
    <row r="86" spans="1:6" ht="15.75" customHeight="1" x14ac:dyDescent="0.2">
      <c r="A86" s="36" t="s">
        <v>10</v>
      </c>
      <c r="B86" s="75">
        <f>$C$93*7</f>
        <v>291669</v>
      </c>
      <c r="C86" s="18"/>
      <c r="D86" s="25">
        <f t="shared" si="6"/>
        <v>-291669</v>
      </c>
      <c r="E86" s="73"/>
      <c r="F86" s="46"/>
    </row>
    <row r="87" spans="1:6" ht="15.75" customHeight="1" x14ac:dyDescent="0.2">
      <c r="A87" s="36" t="s">
        <v>11</v>
      </c>
      <c r="B87" s="75">
        <f>$C$93*8</f>
        <v>333336</v>
      </c>
      <c r="C87" s="50"/>
      <c r="D87" s="25">
        <f t="shared" si="6"/>
        <v>-333336</v>
      </c>
      <c r="E87" s="73"/>
      <c r="F87" s="46"/>
    </row>
    <row r="88" spans="1:6" ht="15.75" customHeight="1" x14ac:dyDescent="0.2">
      <c r="A88" s="36" t="s">
        <v>12</v>
      </c>
      <c r="B88" s="75">
        <f>$C$93*9</f>
        <v>375003</v>
      </c>
      <c r="C88" s="18"/>
      <c r="D88" s="25">
        <f t="shared" si="6"/>
        <v>-375003</v>
      </c>
      <c r="E88" s="73"/>
      <c r="F88" s="40"/>
    </row>
    <row r="89" spans="1:6" ht="15.75" customHeight="1" x14ac:dyDescent="0.2">
      <c r="A89" s="36" t="s">
        <v>13</v>
      </c>
      <c r="B89" s="75">
        <f>$C$93*10</f>
        <v>416670</v>
      </c>
      <c r="C89" s="18"/>
      <c r="D89" s="25">
        <f t="shared" si="6"/>
        <v>-416670</v>
      </c>
      <c r="E89" s="73"/>
      <c r="F89" s="46"/>
    </row>
    <row r="90" spans="1:6" ht="15.75" customHeight="1" x14ac:dyDescent="0.2">
      <c r="A90" s="36" t="s">
        <v>23</v>
      </c>
      <c r="B90" s="75">
        <f>$C$93*11</f>
        <v>458337</v>
      </c>
      <c r="C90" s="18"/>
      <c r="D90" s="25">
        <f t="shared" si="6"/>
        <v>-458337</v>
      </c>
      <c r="E90" s="73"/>
      <c r="F90" s="46"/>
    </row>
    <row r="91" spans="1:6" ht="15.75" customHeight="1" x14ac:dyDescent="0.2">
      <c r="A91" s="36" t="s">
        <v>15</v>
      </c>
      <c r="B91" s="75">
        <f>$C$93*12</f>
        <v>500004</v>
      </c>
      <c r="C91" s="18"/>
      <c r="D91" s="25">
        <f t="shared" si="6"/>
        <v>-500004</v>
      </c>
      <c r="E91" s="73"/>
      <c r="F91" s="46"/>
    </row>
    <row r="92" spans="1:6" ht="15.75" customHeight="1" x14ac:dyDescent="0.2">
      <c r="B92" s="182" t="s">
        <v>25</v>
      </c>
      <c r="C92" s="179">
        <v>500000</v>
      </c>
      <c r="D92" s="55"/>
      <c r="E92" s="55"/>
      <c r="F92" s="46"/>
    </row>
    <row r="93" spans="1:6" ht="44.25" customHeight="1" x14ac:dyDescent="0.2">
      <c r="B93" s="132" t="s">
        <v>37</v>
      </c>
      <c r="C93" s="179">
        <v>41667</v>
      </c>
      <c r="E93" s="55"/>
      <c r="F93" s="46"/>
    </row>
    <row r="94" spans="1:6" ht="44.25" hidden="1" customHeight="1" x14ac:dyDescent="0.2">
      <c r="A94" s="189" t="s">
        <v>50</v>
      </c>
      <c r="B94" s="189"/>
      <c r="C94" s="170">
        <f>D71/12</f>
        <v>0</v>
      </c>
      <c r="D94" s="133"/>
      <c r="E94" s="55"/>
      <c r="F94" s="46"/>
    </row>
    <row r="95" spans="1:6" ht="44.25" hidden="1" customHeight="1" x14ac:dyDescent="0.2">
      <c r="A95" s="189" t="s">
        <v>52</v>
      </c>
      <c r="B95" s="189"/>
      <c r="C95" s="166">
        <f>D72/12</f>
        <v>0</v>
      </c>
      <c r="D95" s="133"/>
      <c r="E95" s="55"/>
      <c r="F95" s="46"/>
    </row>
    <row r="96" spans="1:6" ht="15.75" customHeight="1" x14ac:dyDescent="0.2">
      <c r="A96" s="72" t="s">
        <v>36</v>
      </c>
      <c r="B96" s="54"/>
      <c r="C96" s="54"/>
      <c r="D96" s="38"/>
      <c r="F96" s="46"/>
    </row>
    <row r="97" spans="1:6" ht="15.75" customHeight="1" x14ac:dyDescent="0.2">
      <c r="F97" s="46"/>
    </row>
    <row r="98" spans="1:6" x14ac:dyDescent="0.2">
      <c r="A98" s="67"/>
      <c r="B98" s="24"/>
      <c r="C98" s="38"/>
    </row>
    <row r="99" spans="1:6" x14ac:dyDescent="0.2">
      <c r="A99" s="67"/>
      <c r="B99" s="24"/>
      <c r="C99" s="38"/>
    </row>
  </sheetData>
  <mergeCells count="17">
    <mergeCell ref="M5:M6"/>
    <mergeCell ref="L5:L6"/>
    <mergeCell ref="J5:J6"/>
    <mergeCell ref="I5:I6"/>
    <mergeCell ref="A44:B44"/>
    <mergeCell ref="F54:F55"/>
    <mergeCell ref="E54:E55"/>
    <mergeCell ref="A95:B95"/>
    <mergeCell ref="A94:B94"/>
    <mergeCell ref="B4:K4"/>
    <mergeCell ref="K5:K6"/>
    <mergeCell ref="A45:B45"/>
    <mergeCell ref="B53:F53"/>
    <mergeCell ref="D54:D55"/>
    <mergeCell ref="A46:B46"/>
    <mergeCell ref="H54:H55"/>
    <mergeCell ref="G54:G55"/>
  </mergeCells>
  <phoneticPr fontId="2" type="noConversion"/>
  <pageMargins left="0.7" right="0.7" top="0.75" bottom="0.75" header="0.3" footer="0.3"/>
  <pageSetup paperSize="9" scale="64" fitToWidth="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daň. příjmy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Friedlová</dc:creator>
  <cp:keywords/>
  <dc:description/>
  <cp:lastModifiedBy>Kamila Nenutilová</cp:lastModifiedBy>
  <cp:revision>0</cp:revision>
  <cp:lastPrinted>2022-03-30T10:52:58Z</cp:lastPrinted>
  <dcterms:created xsi:type="dcterms:W3CDTF">1601-01-01T00:00:00Z</dcterms:created>
  <dcterms:modified xsi:type="dcterms:W3CDTF">2022-07-18T12:56:01Z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-143135302</vt:i4>
  </property>
  <property fmtid="{D5CDD505-2E9C-101B-9397-08002B2CF9AE}" pid="3" name="_EmailSubject">
    <vt:lpwstr/>
  </property>
  <property fmtid="{D5CDD505-2E9C-101B-9397-08002B2CF9AE}" pid="4" name="_AuthorEmail">
    <vt:lpwstr>nevludova@pribor-mesto.cz</vt:lpwstr>
  </property>
  <property fmtid="{D5CDD505-2E9C-101B-9397-08002B2CF9AE}" pid="5" name="_AuthorEmailDisplayName">
    <vt:lpwstr>Barbora Nevludová</vt:lpwstr>
  </property>
  <property fmtid="{D5CDD505-2E9C-101B-9397-08002B2CF9AE}" pid="6" name="_ReviewingToolsShownOnce">
    <vt:lpwstr/>
  </property>
</Properties>
</file>