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O:\2022\Daňové příjmy\"/>
    </mc:Choice>
  </mc:AlternateContent>
  <xr:revisionPtr revIDLastSave="0" documentId="13_ncr:1_{1F2418A9-FBDA-4FAA-87D3-CA2556BDE20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daň. příjmy 2022" sheetId="6" r:id="rId1"/>
    <sheet name="daň. příjmy 2021" sheetId="11" r:id="rId2"/>
    <sheet name="daň. příjmy 2020" sheetId="9" r:id="rId3"/>
    <sheet name="daň. příjmy 2019" sheetId="7" r:id="rId4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5" i="11" l="1"/>
  <c r="D92" i="11"/>
  <c r="B92" i="11"/>
  <c r="D91" i="11"/>
  <c r="B91" i="11"/>
  <c r="D90" i="11"/>
  <c r="B90" i="11"/>
  <c r="D85" i="11"/>
  <c r="B85" i="11"/>
  <c r="D84" i="11"/>
  <c r="B84" i="11"/>
  <c r="D83" i="11"/>
  <c r="B83" i="11"/>
  <c r="D82" i="11"/>
  <c r="B82" i="11"/>
  <c r="D81" i="11"/>
  <c r="B81" i="11"/>
  <c r="D77" i="11"/>
  <c r="D74" i="11"/>
  <c r="D73" i="11"/>
  <c r="C96" i="11" s="1"/>
  <c r="G71" i="11"/>
  <c r="D71" i="11"/>
  <c r="G69" i="11"/>
  <c r="D69" i="11"/>
  <c r="D75" i="11" s="1"/>
  <c r="C69" i="11"/>
  <c r="B69" i="11"/>
  <c r="B75" i="11" s="1"/>
  <c r="H68" i="11"/>
  <c r="D68" i="11"/>
  <c r="H67" i="11"/>
  <c r="D67" i="11"/>
  <c r="H66" i="11"/>
  <c r="D66" i="11"/>
  <c r="H65" i="11"/>
  <c r="D65" i="11"/>
  <c r="H64" i="11"/>
  <c r="D64" i="11"/>
  <c r="H63" i="11"/>
  <c r="D63" i="11"/>
  <c r="H62" i="11"/>
  <c r="D62" i="11"/>
  <c r="H61" i="11"/>
  <c r="D61" i="11"/>
  <c r="H60" i="11"/>
  <c r="D60" i="11"/>
  <c r="H59" i="11"/>
  <c r="D59" i="11"/>
  <c r="H58" i="11"/>
  <c r="D58" i="11"/>
  <c r="H57" i="11"/>
  <c r="D57" i="11"/>
  <c r="E68" i="11" s="1"/>
  <c r="F68" i="11" s="1"/>
  <c r="M45" i="11"/>
  <c r="L45" i="11"/>
  <c r="K45" i="11"/>
  <c r="J45" i="11"/>
  <c r="D43" i="11"/>
  <c r="B43" i="11"/>
  <c r="D42" i="11"/>
  <c r="B42" i="11"/>
  <c r="D41" i="11"/>
  <c r="B41" i="11"/>
  <c r="D33" i="11"/>
  <c r="B33" i="11"/>
  <c r="D32" i="11"/>
  <c r="B32" i="11"/>
  <c r="I27" i="11"/>
  <c r="F25" i="11"/>
  <c r="B25" i="11"/>
  <c r="I24" i="11"/>
  <c r="I22" i="11"/>
  <c r="C46" i="11" s="1"/>
  <c r="I21" i="11"/>
  <c r="L19" i="11"/>
  <c r="L21" i="11" s="1"/>
  <c r="H19" i="11"/>
  <c r="H25" i="11" s="1"/>
  <c r="G19" i="11"/>
  <c r="G25" i="11" s="1"/>
  <c r="F19" i="11"/>
  <c r="E19" i="11"/>
  <c r="E25" i="11" s="1"/>
  <c r="D19" i="11"/>
  <c r="D25" i="11" s="1"/>
  <c r="C19" i="11"/>
  <c r="C25" i="11" s="1"/>
  <c r="B19" i="11"/>
  <c r="M18" i="11"/>
  <c r="I18" i="11"/>
  <c r="M17" i="11"/>
  <c r="I17" i="11"/>
  <c r="M16" i="11"/>
  <c r="I16" i="11"/>
  <c r="M15" i="11"/>
  <c r="I15" i="11"/>
  <c r="M14" i="11"/>
  <c r="I14" i="11"/>
  <c r="M13" i="11"/>
  <c r="I13" i="11"/>
  <c r="M12" i="11"/>
  <c r="I12" i="11"/>
  <c r="M11" i="11"/>
  <c r="K11" i="11"/>
  <c r="I11" i="11"/>
  <c r="M10" i="11"/>
  <c r="K10" i="11"/>
  <c r="I10" i="11"/>
  <c r="M9" i="11"/>
  <c r="K9" i="11"/>
  <c r="I9" i="11"/>
  <c r="M8" i="11"/>
  <c r="K8" i="11"/>
  <c r="I8" i="11"/>
  <c r="M7" i="11"/>
  <c r="K7" i="11"/>
  <c r="I7" i="11"/>
  <c r="K16" i="11" l="1"/>
  <c r="K15" i="11"/>
  <c r="J20" i="11"/>
  <c r="K18" i="11"/>
  <c r="K14" i="11"/>
  <c r="K13" i="11"/>
  <c r="K17" i="11"/>
  <c r="I19" i="11"/>
  <c r="I25" i="11" s="1"/>
  <c r="K12" i="11"/>
  <c r="B89" i="11"/>
  <c r="D89" i="11" s="1"/>
  <c r="B87" i="11"/>
  <c r="D87" i="11" s="1"/>
  <c r="B88" i="11"/>
  <c r="D88" i="11" s="1"/>
  <c r="B86" i="11"/>
  <c r="D86" i="11" s="1"/>
  <c r="B40" i="11"/>
  <c r="D40" i="11" s="1"/>
  <c r="B38" i="11"/>
  <c r="D38" i="11" s="1"/>
  <c r="B36" i="11"/>
  <c r="D36" i="11" s="1"/>
  <c r="B34" i="11"/>
  <c r="D34" i="11" s="1"/>
  <c r="B39" i="11"/>
  <c r="D39" i="11" s="1"/>
  <c r="B37" i="11"/>
  <c r="D37" i="11" s="1"/>
  <c r="B35" i="11"/>
  <c r="D35" i="11" s="1"/>
  <c r="J7" i="11"/>
  <c r="J8" i="11"/>
  <c r="J9" i="11"/>
  <c r="J10" i="11"/>
  <c r="J11" i="11"/>
  <c r="J12" i="11"/>
  <c r="J13" i="11"/>
  <c r="J14" i="11"/>
  <c r="J15" i="11"/>
  <c r="J16" i="11"/>
  <c r="J17" i="11"/>
  <c r="J18" i="1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B91" i="6" l="1"/>
  <c r="B90" i="6"/>
  <c r="B89" i="6"/>
  <c r="B88" i="6"/>
  <c r="B87" i="6"/>
  <c r="B86" i="6"/>
  <c r="B85" i="6"/>
  <c r="B84" i="6"/>
  <c r="B83" i="6"/>
  <c r="B82" i="6"/>
  <c r="B81" i="6"/>
  <c r="B43" i="6"/>
  <c r="B42" i="6"/>
  <c r="B41" i="6"/>
  <c r="B40" i="6"/>
  <c r="B39" i="6"/>
  <c r="B38" i="6"/>
  <c r="B37" i="6"/>
  <c r="B36" i="6"/>
  <c r="B35" i="6"/>
  <c r="B34" i="6"/>
  <c r="B33" i="6"/>
  <c r="K45" i="6"/>
  <c r="L45" i="6"/>
  <c r="M45" i="6"/>
  <c r="I21" i="6" l="1"/>
  <c r="D73" i="6" l="1"/>
  <c r="D72" i="6" l="1"/>
  <c r="C95" i="6" s="1"/>
  <c r="C46" i="6" l="1"/>
  <c r="C94" i="6"/>
  <c r="H19" i="9" l="1"/>
  <c r="G19" i="9"/>
  <c r="F19" i="9"/>
  <c r="E19" i="9"/>
  <c r="D19" i="9"/>
  <c r="C19" i="9"/>
  <c r="B19" i="9"/>
  <c r="I18" i="9"/>
  <c r="I17" i="9"/>
  <c r="I16" i="9"/>
  <c r="I15" i="9"/>
  <c r="I14" i="9"/>
  <c r="I13" i="9"/>
  <c r="I12" i="9"/>
  <c r="I11" i="9"/>
  <c r="I10" i="9"/>
  <c r="I9" i="9"/>
  <c r="I8" i="9"/>
  <c r="I19" i="9" s="1"/>
  <c r="I7" i="9"/>
  <c r="D76" i="6" l="1"/>
  <c r="B32" i="6" l="1"/>
  <c r="H19" i="7" l="1"/>
  <c r="G19" i="7"/>
  <c r="F19" i="7"/>
  <c r="E19" i="7"/>
  <c r="D19" i="7"/>
  <c r="C19" i="7"/>
  <c r="B19" i="7"/>
  <c r="I18" i="7"/>
  <c r="I17" i="7"/>
  <c r="I16" i="7"/>
  <c r="I15" i="7"/>
  <c r="I14" i="7"/>
  <c r="I13" i="7"/>
  <c r="I12" i="7"/>
  <c r="I11" i="7"/>
  <c r="I10" i="7"/>
  <c r="I9" i="7"/>
  <c r="I8" i="7"/>
  <c r="I19" i="7" s="1"/>
  <c r="I7" i="7"/>
  <c r="J45" i="6" l="1"/>
  <c r="D70" i="6" l="1"/>
  <c r="D57" i="6" l="1"/>
  <c r="D58" i="6"/>
  <c r="D59" i="6"/>
  <c r="D60" i="6"/>
  <c r="D61" i="6"/>
  <c r="D62" i="6"/>
  <c r="D63" i="6"/>
  <c r="D64" i="6"/>
  <c r="D65" i="6"/>
  <c r="D66" i="6"/>
  <c r="D67" i="6"/>
  <c r="D56" i="6"/>
  <c r="E56" i="6" s="1"/>
  <c r="E57" i="6" l="1"/>
  <c r="E60" i="6"/>
  <c r="E67" i="6"/>
  <c r="E64" i="6"/>
  <c r="E59" i="6"/>
  <c r="E61" i="6"/>
  <c r="E63" i="6"/>
  <c r="E66" i="6"/>
  <c r="E62" i="6"/>
  <c r="E58" i="6"/>
  <c r="E65" i="6"/>
  <c r="C68" i="6"/>
  <c r="C74" i="6" s="1"/>
  <c r="I27" i="6" l="1"/>
  <c r="B68" i="6" l="1"/>
  <c r="B74" i="6" s="1"/>
  <c r="D68" i="6" l="1"/>
  <c r="D74" i="6" s="1"/>
  <c r="L19" i="6"/>
  <c r="L21" i="6" s="1"/>
  <c r="C19" i="6" l="1"/>
  <c r="C25" i="6" s="1"/>
  <c r="D19" i="6"/>
  <c r="D25" i="6" s="1"/>
  <c r="E19" i="6"/>
  <c r="E25" i="6" s="1"/>
  <c r="F19" i="6"/>
  <c r="F25" i="6" s="1"/>
  <c r="G19" i="6"/>
  <c r="G25" i="6" s="1"/>
  <c r="H19" i="6"/>
  <c r="H25" i="6" s="1"/>
  <c r="B19" i="6"/>
  <c r="B25" i="6" s="1"/>
  <c r="I8" i="6"/>
  <c r="I9" i="6"/>
  <c r="I10" i="6"/>
  <c r="I11" i="6"/>
  <c r="I12" i="6"/>
  <c r="I13" i="6"/>
  <c r="I14" i="6"/>
  <c r="I15" i="6"/>
  <c r="I16" i="6"/>
  <c r="I17" i="6"/>
  <c r="I18" i="6"/>
  <c r="I7" i="6"/>
  <c r="I19" i="6" l="1"/>
  <c r="I25" i="6" s="1"/>
  <c r="J20" i="6"/>
  <c r="J8" i="6"/>
  <c r="J15" i="6"/>
  <c r="K14" i="6"/>
  <c r="D91" i="6" l="1"/>
  <c r="D90" i="6"/>
  <c r="D89" i="6"/>
  <c r="D88" i="6"/>
  <c r="D87" i="6"/>
  <c r="D86" i="6"/>
  <c r="D85" i="6"/>
  <c r="D84" i="6"/>
  <c r="D83" i="6"/>
  <c r="D82" i="6"/>
  <c r="D81" i="6"/>
  <c r="B80" i="6"/>
  <c r="D80" i="6" s="1"/>
  <c r="H56" i="6" l="1"/>
  <c r="M10" i="6" l="1"/>
  <c r="M9" i="6"/>
  <c r="M8" i="6"/>
  <c r="M7" i="6"/>
  <c r="D43" i="6"/>
  <c r="D34" i="6"/>
  <c r="D33" i="6"/>
  <c r="D32" i="6"/>
  <c r="D42" i="6"/>
  <c r="D35" i="6"/>
  <c r="D36" i="6"/>
  <c r="D37" i="6"/>
  <c r="D38" i="6"/>
  <c r="D39" i="6"/>
  <c r="D40" i="6"/>
  <c r="D41" i="6"/>
  <c r="H61" i="6" l="1"/>
  <c r="H60" i="6"/>
  <c r="H59" i="6"/>
  <c r="H58" i="6"/>
  <c r="H64" i="6"/>
  <c r="H57" i="6" l="1"/>
  <c r="H62" i="6"/>
  <c r="H63" i="6"/>
  <c r="H67" i="6"/>
  <c r="H66" i="6"/>
  <c r="M11" i="6"/>
  <c r="H65" i="6"/>
  <c r="M12" i="6"/>
  <c r="G68" i="6"/>
  <c r="G70" i="6" s="1"/>
  <c r="K9" i="6" l="1"/>
  <c r="K13" i="6"/>
  <c r="K10" i="6"/>
  <c r="K11" i="6"/>
  <c r="K12" i="6"/>
  <c r="K7" i="6"/>
  <c r="J7" i="6"/>
  <c r="J12" i="6"/>
  <c r="J10" i="6"/>
  <c r="J11" i="6"/>
  <c r="J13" i="6"/>
  <c r="K8" i="6"/>
  <c r="J9" i="6"/>
  <c r="M15" i="6" l="1"/>
  <c r="M13" i="6"/>
  <c r="M14" i="6"/>
  <c r="M18" i="6"/>
  <c r="M16" i="6"/>
  <c r="M17" i="6"/>
  <c r="K18" i="6"/>
  <c r="K15" i="6"/>
  <c r="K16" i="6"/>
  <c r="J17" i="6"/>
  <c r="J18" i="6"/>
  <c r="J14" i="6"/>
  <c r="J16" i="6"/>
  <c r="K17" i="6"/>
  <c r="F56" i="6"/>
  <c r="F57" i="6"/>
  <c r="F58" i="6"/>
  <c r="F59" i="6"/>
  <c r="F60" i="6"/>
  <c r="F61" i="6"/>
  <c r="F62" i="6"/>
  <c r="F63" i="6"/>
  <c r="F64" i="6"/>
  <c r="F65" i="6"/>
  <c r="F66" i="6"/>
  <c r="F6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Friedlová</author>
  </authors>
  <commentList>
    <comment ref="H9" authorId="0" shapeId="0" xr:uid="{46E53838-B52B-48DE-8C52-F5CA24886358}">
      <text>
        <r>
          <rPr>
            <b/>
            <sz val="9"/>
            <color indexed="81"/>
            <rFont val="Tahoma"/>
            <family val="2"/>
            <charset val="238"/>
          </rPr>
          <t>Petra Friedlová:</t>
        </r>
        <r>
          <rPr>
            <sz val="9"/>
            <color indexed="81"/>
            <rFont val="Tahoma"/>
            <family val="2"/>
            <charset val="238"/>
          </rPr>
          <t xml:space="preserve">
K 30. září jsem zjistila, že nemám v tabulce promítnutou tuto daň za měsíc březen z důvodu pozdějšího zaúčtování.</t>
        </r>
      </text>
    </comment>
  </commentList>
</comments>
</file>

<file path=xl/sharedStrings.xml><?xml version="1.0" encoding="utf-8"?>
<sst xmlns="http://schemas.openxmlformats.org/spreadsheetml/2006/main" count="349" uniqueCount="79">
  <si>
    <t>položka</t>
  </si>
  <si>
    <t>Daň z příjmu PO</t>
  </si>
  <si>
    <t>DPH</t>
  </si>
  <si>
    <t>Daň z nemovitosti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</si>
  <si>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</si>
  <si>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</si>
  <si>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</si>
  <si>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</si>
  <si>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</si>
  <si>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</si>
  <si>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</si>
  <si>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</si>
  <si>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</si>
  <si>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</si>
  <si>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</si>
  <si>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</si>
  <si>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Daň z příjmu PO za obce</t>
  </si>
  <si>
    <t>údaje v Kč</t>
  </si>
  <si>
    <t>jednotlivé měsíce roku /odvody</t>
  </si>
  <si>
    <t>jednotlivé měsíce roku/daně</t>
  </si>
  <si>
    <t>rozdíl</t>
  </si>
  <si>
    <t>průměr měsíčního plnění</t>
  </si>
  <si>
    <t>plnění v %</t>
  </si>
  <si>
    <t>listopad</t>
  </si>
  <si>
    <t>předpoklad *</t>
  </si>
  <si>
    <t>schválený rozpočet</t>
  </si>
  <si>
    <t>Porovnání plnění vzhledem ke schválenému rozpočtu</t>
  </si>
  <si>
    <t xml:space="preserve">leden </t>
  </si>
  <si>
    <t>Celkem za jednotlivou daň</t>
  </si>
  <si>
    <t>Celkem za daný měsíc</t>
  </si>
  <si>
    <t>…skutečnost je nižší než předpoklad</t>
  </si>
  <si>
    <t>kontrolní číslo</t>
  </si>
  <si>
    <t>Daň z příjmu FO placená plátci</t>
  </si>
  <si>
    <t>Daň z příjmu FO placená poplatníky</t>
  </si>
  <si>
    <t>Daň z příjmu FO vybíraná srážkou</t>
  </si>
  <si>
    <t>skutečnost **</t>
  </si>
  <si>
    <t>** součet za jednotlivé měsíce kumulativně, stav ke konci daného měsíce</t>
  </si>
  <si>
    <t>* předpoklad měsíčního plnění</t>
  </si>
  <si>
    <t>Daň z technických her</t>
  </si>
  <si>
    <t>součet za jednotlivé měsíce</t>
  </si>
  <si>
    <t>…skutečnost je vyšší než předpoklad</t>
  </si>
  <si>
    <r>
      <t xml:space="preserve">Daň z hazardních her </t>
    </r>
    <r>
      <rPr>
        <b/>
        <i/>
        <sz val="10"/>
        <rFont val="Calibri"/>
        <family val="2"/>
        <charset val="238"/>
      </rPr>
      <t>(vč. loterií)</t>
    </r>
  </si>
  <si>
    <t>součet kumulativně</t>
  </si>
  <si>
    <t>DPH - skutečnost 2019</t>
  </si>
  <si>
    <t>Celkem</t>
  </si>
  <si>
    <t>DPH - skutečnost 2018</t>
  </si>
  <si>
    <t>Daňové příjmy v roce 2019</t>
  </si>
  <si>
    <t>Upravený rozpočet po schválení RO č. 2</t>
  </si>
  <si>
    <t>skutečnost 2020</t>
  </si>
  <si>
    <t>Daňové příjmy v roce 2021</t>
  </si>
  <si>
    <t>součet 2020 kumulativně</t>
  </si>
  <si>
    <t>DPH - skutečnost 2020</t>
  </si>
  <si>
    <t>DPH - 2021</t>
  </si>
  <si>
    <t>průměr měsíčního plnění v 2020</t>
  </si>
  <si>
    <t>Skutečnost DPH v r. 2018, 2019 a 2020</t>
  </si>
  <si>
    <t>Daň z hazardních her v roce 2021</t>
  </si>
  <si>
    <t>2021</t>
  </si>
  <si>
    <t>Schválený rozpočet 2021</t>
  </si>
  <si>
    <t>Daňové příjmy v roce 2020</t>
  </si>
  <si>
    <t>Upravený rozpočet po schválení RO č. 1 - ZM 24.03.2021</t>
  </si>
  <si>
    <t>* předpoklad měsíčního plnění po schválení RO č. 1</t>
  </si>
  <si>
    <t>Upravený rozpočet po schválení RO č. 2 - ZM 23.03.2021</t>
  </si>
  <si>
    <t>---</t>
  </si>
  <si>
    <t>* předpoklad měsíčního plnění po schválení RO č. 2</t>
  </si>
  <si>
    <t>…skutečnost je vyšší než měsíční předpoklad</t>
  </si>
  <si>
    <t>Upravený rozpočet po schválení RO č. 4 - ZM 20.10.2021</t>
  </si>
  <si>
    <t>* předpoklad měsíčního plnění po schválení RO č. 4</t>
  </si>
  <si>
    <t xml:space="preserve">* předpoklad měsíčního plnění po schválení RO č. 1 </t>
  </si>
  <si>
    <t>skutečnost 2021</t>
  </si>
  <si>
    <t>součet 2021 kumulativně</t>
  </si>
  <si>
    <t>DPH - skutečnost 2021</t>
  </si>
  <si>
    <t>DPH - 2022</t>
  </si>
  <si>
    <t>Schválený rozpočet 2022</t>
  </si>
  <si>
    <t>Skutečnost DPH v r. 2019, 2020 a 2021</t>
  </si>
  <si>
    <t>Daň z hazardních her v roce 2022</t>
  </si>
  <si>
    <t>Daňové příjmy v roce 2022</t>
  </si>
  <si>
    <t>2022</t>
  </si>
  <si>
    <t>průměr měsíčního plnění v 2021</t>
  </si>
  <si>
    <t>...skutečnost je vyšší než předpoklad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</si>
</sst>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</numFmts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u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C4824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theme="0" tint="-0.34998626667073579"/>
      <name val="Calibri"/>
      <family val="2"/>
      <charset val="238"/>
    </font>
    <font>
      <i/>
      <sz val="9"/>
      <name val="Calibri"/>
      <family val="2"/>
      <charset val="238"/>
    </font>
    <font>
      <b/>
      <sz val="10"/>
      <color indexed="22"/>
      <name val="Calibri"/>
      <family val="2"/>
      <charset val="238"/>
    </font>
    <font>
      <b/>
      <sz val="11"/>
      <color theme="8" tint="-0.249977111117893"/>
      <name val="Calibri"/>
      <family val="2"/>
      <charset val="238"/>
    </font>
    <font>
      <b/>
      <u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0.5"/>
      <name val="Calibri"/>
      <family val="2"/>
      <charset val="238"/>
    </font>
    <font>
      <b/>
      <sz val="10"/>
      <color theme="2" tint="-9.9978637043366805E-2"/>
      <name val="Calibri"/>
      <family val="2"/>
      <charset val="238"/>
    </font>
    <font>
      <sz val="10"/>
      <name val="Arial"/>
      <family val="2"/>
      <charset val="238"/>
    </font>
    <font>
      <i/>
      <sz val="8"/>
      <name val="Calibri"/>
      <family val="2"/>
      <charset val="238"/>
    </font>
    <font>
      <b/>
      <sz val="8"/>
      <color theme="2" tint="-0.499984740745262"/>
      <name val="Calibri"/>
      <family val="2"/>
      <charset val="238"/>
    </font>
    <font>
      <b/>
      <sz val="10"/>
      <color theme="1" tint="0.14999847407452621"/>
      <name val="Calibri"/>
      <family val="2"/>
      <charset val="238"/>
    </font>
    <font>
      <b/>
      <sz val="10"/>
      <color theme="1" tint="0.249977111117893"/>
      <name val="Calibri"/>
      <family val="2"/>
      <charset val="238"/>
    </font>
    <font>
      <sz val="10.5"/>
      <color rgb="FF0070C0"/>
      <name val="Calibri"/>
      <family val="2"/>
      <charset val="238"/>
    </font>
    <font>
      <sz val="10"/>
      <color theme="9" tint="-0.249977111117893"/>
      <name val="Calibri"/>
      <family val="2"/>
      <charset val="238"/>
    </font>
    <font>
      <b/>
      <sz val="8"/>
      <name val="Calibri"/>
      <family val="2"/>
      <charset val="238"/>
    </font>
    <font>
      <sz val="10"/>
      <color theme="2" tint="-0.499984740745262"/>
      <name val="Calibri"/>
      <family val="2"/>
      <charset val="238"/>
    </font>
    <font>
      <sz val="10"/>
      <color rgb="FF7030A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10"/>
      <color theme="0" tint="-0.14999847407452621"/>
      <name val="Calibri"/>
      <family val="2"/>
      <charset val="238"/>
    </font>
    <font>
      <b/>
      <sz val="10"/>
      <color theme="2" tint="-0.499984740745262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44" fontId="3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19" fillId="0" borderId="0" xfId="0" applyFont="1"/>
    <xf numFmtId="9" fontId="19" fillId="0" borderId="0" xfId="0" applyNumberFormat="1" applyFont="1"/>
    <xf numFmtId="9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19" borderId="15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19" borderId="13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7" xfId="0" applyFont="1" applyFill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164" fontId="23" fillId="22" borderId="26" xfId="0" applyNumberFormat="1" applyFont="1" applyFill="1" applyBorder="1" applyAlignment="1">
      <alignment horizontal="center" vertical="center" wrapText="1"/>
    </xf>
    <xf numFmtId="4" fontId="23" fillId="21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 wrapText="1"/>
    </xf>
    <xf numFmtId="164" fontId="28" fillId="22" borderId="10" xfId="0" applyNumberFormat="1" applyFont="1" applyFill="1" applyBorder="1" applyAlignment="1">
      <alignment horizontal="center" vertical="center" wrapText="1"/>
    </xf>
    <xf numFmtId="164" fontId="28" fillId="22" borderId="3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14" fontId="33" fillId="0" borderId="0" xfId="0" applyNumberFormat="1" applyFont="1" applyAlignment="1">
      <alignment horizontal="left" vertical="center"/>
    </xf>
    <xf numFmtId="4" fontId="34" fillId="0" borderId="0" xfId="0" applyNumberFormat="1" applyFont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left" vertical="center" wrapText="1"/>
    </xf>
    <xf numFmtId="4" fontId="24" fillId="0" borderId="23" xfId="0" applyNumberFormat="1" applyFont="1" applyBorder="1" applyAlignment="1">
      <alignment horizontal="left" vertical="center"/>
    </xf>
    <xf numFmtId="4" fontId="24" fillId="0" borderId="23" xfId="0" applyNumberFormat="1" applyFont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4" fontId="23" fillId="21" borderId="27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3" fillId="21" borderId="10" xfId="0" applyNumberFormat="1" applyFont="1" applyFill="1" applyBorder="1" applyAlignment="1">
      <alignment horizontal="center" vertical="center" wrapText="1"/>
    </xf>
    <xf numFmtId="4" fontId="23" fillId="21" borderId="14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3" fillId="21" borderId="12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9" fontId="23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4" fillId="19" borderId="12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/>
    </xf>
    <xf numFmtId="9" fontId="2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21" borderId="10" xfId="0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  <xf numFmtId="4" fontId="23" fillId="0" borderId="31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3" fillId="0" borderId="27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164" fontId="40" fillId="0" borderId="0" xfId="0" applyNumberFormat="1" applyFont="1" applyAlignment="1">
      <alignment horizontal="left" vertical="top"/>
    </xf>
    <xf numFmtId="164" fontId="30" fillId="0" borderId="0" xfId="0" applyNumberFormat="1" applyFont="1" applyAlignment="1">
      <alignment horizontal="center" wrapText="1"/>
    </xf>
    <xf numFmtId="4" fontId="24" fillId="0" borderId="0" xfId="83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19" fillId="21" borderId="10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 horizontal="center" vertical="center" wrapText="1"/>
    </xf>
    <xf numFmtId="0" fontId="27" fillId="19" borderId="32" xfId="0" applyFont="1" applyFill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left" vertical="center"/>
    </xf>
    <xf numFmtId="0" fontId="28" fillId="22" borderId="12" xfId="0" applyFont="1" applyFill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4" fontId="37" fillId="0" borderId="22" xfId="0" applyNumberFormat="1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/>
    </xf>
    <xf numFmtId="164" fontId="23" fillId="22" borderId="19" xfId="0" applyNumberFormat="1" applyFont="1" applyFill="1" applyBorder="1" applyAlignment="1">
      <alignment horizontal="center" vertical="center"/>
    </xf>
    <xf numFmtId="164" fontId="19" fillId="22" borderId="19" xfId="0" applyNumberFormat="1" applyFont="1" applyFill="1" applyBorder="1" applyAlignment="1">
      <alignment horizontal="center" vertical="center"/>
    </xf>
    <xf numFmtId="164" fontId="24" fillId="22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35" xfId="0" applyNumberFormat="1" applyFont="1" applyBorder="1" applyAlignment="1">
      <alignment horizontal="center" vertical="center"/>
    </xf>
    <xf numFmtId="164" fontId="28" fillId="22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/>
    </xf>
    <xf numFmtId="164" fontId="19" fillId="21" borderId="19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1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164" fontId="19" fillId="21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/>
    </xf>
    <xf numFmtId="164" fontId="24" fillId="22" borderId="26" xfId="0" applyNumberFormat="1" applyFont="1" applyFill="1" applyBorder="1" applyAlignment="1">
      <alignment horizontal="center" vertical="center" wrapText="1"/>
    </xf>
    <xf numFmtId="164" fontId="19" fillId="22" borderId="26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vertical="center"/>
    </xf>
    <xf numFmtId="164" fontId="24" fillId="22" borderId="23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164" fontId="28" fillId="20" borderId="10" xfId="0" applyNumberFormat="1" applyFont="1" applyFill="1" applyBorder="1" applyAlignment="1">
      <alignment horizontal="center" vertical="center" wrapText="1"/>
    </xf>
    <xf numFmtId="4" fontId="23" fillId="20" borderId="10" xfId="0" applyNumberFormat="1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4" fontId="23" fillId="20" borderId="11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45" fillId="18" borderId="11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45" fillId="18" borderId="10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/>
    </xf>
    <xf numFmtId="4" fontId="3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9" fontId="46" fillId="0" borderId="0" xfId="0" applyNumberFormat="1" applyFont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center" vertical="center" wrapText="1"/>
    </xf>
    <xf numFmtId="164" fontId="47" fillId="0" borderId="17" xfId="0" applyNumberFormat="1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164" fontId="19" fillId="21" borderId="10" xfId="0" applyNumberFormat="1" applyFont="1" applyFill="1" applyBorder="1" applyAlignment="1">
      <alignment horizontal="center" vertical="center"/>
    </xf>
    <xf numFmtId="4" fontId="32" fillId="0" borderId="11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164" fontId="32" fillId="0" borderId="13" xfId="0" applyNumberFormat="1" applyFont="1" applyFill="1" applyBorder="1" applyAlignment="1">
      <alignment horizontal="center" vertical="center" wrapText="1"/>
    </xf>
    <xf numFmtId="14" fontId="24" fillId="23" borderId="10" xfId="0" applyNumberFormat="1" applyFont="1" applyFill="1" applyBorder="1" applyAlignment="1">
      <alignment horizontal="center" vertical="center" wrapText="1"/>
    </xf>
    <xf numFmtId="4" fontId="24" fillId="23" borderId="10" xfId="0" applyNumberFormat="1" applyFont="1" applyFill="1" applyBorder="1" applyAlignment="1">
      <alignment horizontal="center" vertical="center" wrapText="1"/>
    </xf>
    <xf numFmtId="4" fontId="23" fillId="23" borderId="19" xfId="0" applyNumberFormat="1" applyFont="1" applyFill="1" applyBorder="1" applyAlignment="1">
      <alignment horizontal="center" vertical="center"/>
    </xf>
    <xf numFmtId="4" fontId="19" fillId="23" borderId="15" xfId="0" applyNumberFormat="1" applyFont="1" applyFill="1" applyBorder="1" applyAlignment="1">
      <alignment horizontal="center" vertical="center"/>
    </xf>
    <xf numFmtId="4" fontId="23" fillId="23" borderId="15" xfId="0" applyNumberFormat="1" applyFont="1" applyFill="1" applyBorder="1" applyAlignment="1">
      <alignment horizontal="center" vertical="center"/>
    </xf>
    <xf numFmtId="4" fontId="24" fillId="23" borderId="10" xfId="0" applyNumberFormat="1" applyFont="1" applyFill="1" applyBorder="1" applyAlignment="1">
      <alignment horizontal="center" vertical="center"/>
    </xf>
    <xf numFmtId="4" fontId="41" fillId="23" borderId="10" xfId="0" applyNumberFormat="1" applyFont="1" applyFill="1" applyBorder="1" applyAlignment="1">
      <alignment horizontal="center" vertical="center" wrapText="1"/>
    </xf>
    <xf numFmtId="164" fontId="23" fillId="23" borderId="26" xfId="0" applyNumberFormat="1" applyFont="1" applyFill="1" applyBorder="1" applyAlignment="1">
      <alignment horizontal="center" vertical="center" wrapText="1"/>
    </xf>
    <xf numFmtId="164" fontId="19" fillId="23" borderId="26" xfId="0" applyNumberFormat="1" applyFont="1" applyFill="1" applyBorder="1" applyAlignment="1">
      <alignment horizontal="center" vertical="center" wrapText="1"/>
    </xf>
    <xf numFmtId="4" fontId="23" fillId="23" borderId="14" xfId="0" applyNumberFormat="1" applyFont="1" applyFill="1" applyBorder="1" applyAlignment="1">
      <alignment horizontal="center" vertical="center"/>
    </xf>
    <xf numFmtId="164" fontId="24" fillId="23" borderId="10" xfId="0" applyNumberFormat="1" applyFont="1" applyFill="1" applyBorder="1" applyAlignment="1">
      <alignment horizontal="center" vertical="center" wrapText="1"/>
    </xf>
    <xf numFmtId="164" fontId="41" fillId="23" borderId="10" xfId="0" applyNumberFormat="1" applyFont="1" applyFill="1" applyBorder="1" applyAlignment="1">
      <alignment horizontal="center" vertical="center" wrapText="1"/>
    </xf>
    <xf numFmtId="4" fontId="24" fillId="23" borderId="12" xfId="0" applyNumberFormat="1" applyFont="1" applyFill="1" applyBorder="1" applyAlignment="1">
      <alignment horizontal="center" vertical="center" wrapText="1"/>
    </xf>
    <xf numFmtId="164" fontId="24" fillId="23" borderId="13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27" fillId="19" borderId="35" xfId="0" applyFont="1" applyFill="1" applyBorder="1" applyAlignment="1">
      <alignment horizontal="center" vertical="center" wrapText="1"/>
    </xf>
    <xf numFmtId="164" fontId="19" fillId="24" borderId="18" xfId="0" applyNumberFormat="1" applyFont="1" applyFill="1" applyBorder="1" applyAlignment="1">
      <alignment horizontal="center" vertical="center" wrapText="1"/>
    </xf>
    <xf numFmtId="164" fontId="51" fillId="22" borderId="13" xfId="0" applyNumberFormat="1" applyFont="1" applyFill="1" applyBorder="1" applyAlignment="1">
      <alignment horizontal="center" vertical="center"/>
    </xf>
    <xf numFmtId="4" fontId="19" fillId="24" borderId="18" xfId="0" applyNumberFormat="1" applyFont="1" applyFill="1" applyBorder="1" applyAlignment="1">
      <alignment horizontal="center" vertical="center"/>
    </xf>
    <xf numFmtId="4" fontId="19" fillId="24" borderId="29" xfId="0" applyNumberFormat="1" applyFont="1" applyFill="1" applyBorder="1" applyAlignment="1">
      <alignment horizontal="center" vertical="center"/>
    </xf>
    <xf numFmtId="4" fontId="24" fillId="23" borderId="13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164" fontId="50" fillId="0" borderId="15" xfId="0" applyNumberFormat="1" applyFont="1" applyFill="1" applyBorder="1" applyAlignment="1">
      <alignment horizontal="center" vertical="center" wrapText="1"/>
    </xf>
    <xf numFmtId="164" fontId="50" fillId="0" borderId="26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 wrapText="1"/>
    </xf>
    <xf numFmtId="4" fontId="19" fillId="24" borderId="21" xfId="0" applyNumberFormat="1" applyFont="1" applyFill="1" applyBorder="1" applyAlignment="1">
      <alignment horizontal="center" vertical="center"/>
    </xf>
    <xf numFmtId="164" fontId="28" fillId="0" borderId="15" xfId="0" applyNumberFormat="1" applyFont="1" applyFill="1" applyBorder="1" applyAlignment="1">
      <alignment horizontal="center" vertical="center" wrapText="1"/>
    </xf>
    <xf numFmtId="164" fontId="28" fillId="0" borderId="26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 wrapText="1"/>
    </xf>
    <xf numFmtId="164" fontId="32" fillId="0" borderId="15" xfId="0" applyNumberFormat="1" applyFont="1" applyFill="1" applyBorder="1" applyAlignment="1">
      <alignment horizontal="center" vertical="center" wrapText="1"/>
    </xf>
    <xf numFmtId="9" fontId="24" fillId="0" borderId="13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7" xfId="0" applyNumberFormat="1" applyFont="1" applyFill="1" applyBorder="1" applyAlignment="1">
      <alignment horizontal="center" vertical="center" wrapText="1"/>
    </xf>
    <xf numFmtId="164" fontId="50" fillId="22" borderId="13" xfId="0" applyNumberFormat="1" applyFont="1" applyFill="1" applyBorder="1" applyAlignment="1">
      <alignment horizontal="center" vertical="center" wrapText="1"/>
    </xf>
    <xf numFmtId="4" fontId="23" fillId="20" borderId="27" xfId="0" applyNumberFormat="1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vertical="center" wrapText="1"/>
    </xf>
    <xf numFmtId="164" fontId="50" fillId="0" borderId="13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right" vertical="center"/>
    </xf>
    <xf numFmtId="0" fontId="21" fillId="0" borderId="0" xfId="84" applyFont="1" applyAlignment="1">
      <alignment horizontal="left" vertical="center"/>
    </xf>
    <xf numFmtId="0" fontId="22" fillId="0" borderId="0" xfId="84" applyFont="1" applyAlignment="1">
      <alignment horizontal="center" vertical="center"/>
    </xf>
    <xf numFmtId="0" fontId="19" fillId="0" borderId="0" xfId="84" applyFont="1" applyAlignment="1">
      <alignment horizontal="center" vertical="center"/>
    </xf>
    <xf numFmtId="0" fontId="24" fillId="0" borderId="0" xfId="84" applyFont="1" applyAlignment="1">
      <alignment horizontal="center" vertical="center"/>
    </xf>
    <xf numFmtId="0" fontId="44" fillId="0" borderId="0" xfId="84" applyFont="1" applyAlignment="1">
      <alignment horizontal="left" vertical="center"/>
    </xf>
    <xf numFmtId="0" fontId="24" fillId="0" borderId="23" xfId="84" applyFont="1" applyBorder="1" applyAlignment="1">
      <alignment vertical="center"/>
    </xf>
    <xf numFmtId="0" fontId="24" fillId="0" borderId="17" xfId="84" applyFont="1" applyBorder="1" applyAlignment="1">
      <alignment horizontal="center" vertical="center" wrapText="1"/>
    </xf>
    <xf numFmtId="0" fontId="24" fillId="19" borderId="15" xfId="84" applyFont="1" applyFill="1" applyBorder="1" applyAlignment="1">
      <alignment horizontal="center" vertical="center" wrapText="1"/>
    </xf>
    <xf numFmtId="0" fontId="24" fillId="19" borderId="10" xfId="84" applyFont="1" applyFill="1" applyBorder="1" applyAlignment="1">
      <alignment horizontal="center" vertical="center" wrapText="1"/>
    </xf>
    <xf numFmtId="0" fontId="24" fillId="19" borderId="17" xfId="84" applyFont="1" applyFill="1" applyBorder="1" applyAlignment="1">
      <alignment horizontal="center" vertical="center" wrapText="1"/>
    </xf>
    <xf numFmtId="0" fontId="26" fillId="0" borderId="17" xfId="84" applyFont="1" applyBorder="1" applyAlignment="1">
      <alignment horizontal="center" vertical="center" wrapText="1"/>
    </xf>
    <xf numFmtId="0" fontId="27" fillId="19" borderId="13" xfId="84" applyFont="1" applyFill="1" applyBorder="1" applyAlignment="1">
      <alignment horizontal="center" vertical="center" wrapText="1"/>
    </xf>
    <xf numFmtId="0" fontId="27" fillId="19" borderId="10" xfId="84" applyFont="1" applyFill="1" applyBorder="1" applyAlignment="1">
      <alignment horizontal="center" vertical="center" wrapText="1"/>
    </xf>
    <xf numFmtId="0" fontId="27" fillId="19" borderId="17" xfId="84" applyFont="1" applyFill="1" applyBorder="1" applyAlignment="1">
      <alignment horizontal="center" vertical="center" wrapText="1"/>
    </xf>
    <xf numFmtId="164" fontId="19" fillId="0" borderId="19" xfId="84" applyNumberFormat="1" applyFont="1" applyBorder="1" applyAlignment="1">
      <alignment horizontal="center" vertical="center"/>
    </xf>
    <xf numFmtId="164" fontId="19" fillId="0" borderId="11" xfId="84" applyNumberFormat="1" applyFont="1" applyBorder="1" applyAlignment="1">
      <alignment horizontal="center" vertical="center"/>
    </xf>
    <xf numFmtId="164" fontId="19" fillId="0" borderId="11" xfId="84" applyNumberFormat="1" applyFont="1" applyBorder="1" applyAlignment="1">
      <alignment horizontal="center" vertical="center" wrapText="1"/>
    </xf>
    <xf numFmtId="4" fontId="19" fillId="0" borderId="11" xfId="84" applyNumberFormat="1" applyFont="1" applyBorder="1" applyAlignment="1">
      <alignment horizontal="center" vertical="center"/>
    </xf>
    <xf numFmtId="164" fontId="19" fillId="0" borderId="28" xfId="84" applyNumberFormat="1" applyFont="1" applyBorder="1" applyAlignment="1">
      <alignment horizontal="center" vertical="center"/>
    </xf>
    <xf numFmtId="164" fontId="19" fillId="22" borderId="26" xfId="84" applyNumberFormat="1" applyFont="1" applyFill="1" applyBorder="1" applyAlignment="1">
      <alignment horizontal="center" vertical="center" wrapText="1"/>
    </xf>
    <xf numFmtId="4" fontId="19" fillId="21" borderId="10" xfId="84" applyNumberFormat="1" applyFont="1" applyFill="1" applyBorder="1" applyAlignment="1">
      <alignment horizontal="center" vertical="center"/>
    </xf>
    <xf numFmtId="164" fontId="19" fillId="24" borderId="18" xfId="84" applyNumberFormat="1" applyFont="1" applyFill="1" applyBorder="1" applyAlignment="1">
      <alignment horizontal="center" vertical="center" wrapText="1"/>
    </xf>
    <xf numFmtId="164" fontId="19" fillId="23" borderId="26" xfId="84" applyNumberFormat="1" applyFont="1" applyFill="1" applyBorder="1" applyAlignment="1">
      <alignment horizontal="center" vertical="center" wrapText="1"/>
    </xf>
    <xf numFmtId="4" fontId="19" fillId="0" borderId="10" xfId="84" applyNumberFormat="1" applyFont="1" applyBorder="1" applyAlignment="1">
      <alignment horizontal="center" vertical="center"/>
    </xf>
    <xf numFmtId="164" fontId="19" fillId="0" borderId="15" xfId="84" applyNumberFormat="1" applyFont="1" applyBorder="1" applyAlignment="1">
      <alignment horizontal="center" vertical="center"/>
    </xf>
    <xf numFmtId="164" fontId="19" fillId="0" borderId="10" xfId="84" applyNumberFormat="1" applyFont="1" applyBorder="1" applyAlignment="1">
      <alignment horizontal="center" vertical="center"/>
    </xf>
    <xf numFmtId="164" fontId="19" fillId="0" borderId="10" xfId="84" applyNumberFormat="1" applyFont="1" applyBorder="1" applyAlignment="1">
      <alignment horizontal="center" vertical="center" wrapText="1"/>
    </xf>
    <xf numFmtId="164" fontId="19" fillId="0" borderId="17" xfId="84" applyNumberFormat="1" applyFont="1" applyBorder="1" applyAlignment="1">
      <alignment horizontal="center" vertical="center"/>
    </xf>
    <xf numFmtId="164" fontId="19" fillId="21" borderId="10" xfId="84" applyNumberFormat="1" applyFont="1" applyFill="1" applyBorder="1" applyAlignment="1">
      <alignment horizontal="center" vertical="center" wrapText="1"/>
    </xf>
    <xf numFmtId="4" fontId="19" fillId="0" borderId="0" xfId="84" applyNumberFormat="1" applyFont="1" applyAlignment="1">
      <alignment horizontal="center" vertical="center"/>
    </xf>
    <xf numFmtId="164" fontId="24" fillId="22" borderId="26" xfId="84" applyNumberFormat="1" applyFont="1" applyFill="1" applyBorder="1" applyAlignment="1">
      <alignment horizontal="center" vertical="center" wrapText="1"/>
    </xf>
    <xf numFmtId="4" fontId="19" fillId="23" borderId="14" xfId="84" applyNumberFormat="1" applyFont="1" applyFill="1" applyBorder="1" applyAlignment="1">
      <alignment horizontal="center" vertical="center"/>
    </xf>
    <xf numFmtId="4" fontId="24" fillId="0" borderId="10" xfId="84" applyNumberFormat="1" applyFont="1" applyBorder="1" applyAlignment="1">
      <alignment horizontal="center" vertical="center"/>
    </xf>
    <xf numFmtId="0" fontId="28" fillId="22" borderId="10" xfId="84" applyFont="1" applyFill="1" applyBorder="1" applyAlignment="1">
      <alignment horizontal="center" vertical="center" wrapText="1"/>
    </xf>
    <xf numFmtId="164" fontId="28" fillId="22" borderId="10" xfId="84" applyNumberFormat="1" applyFont="1" applyFill="1" applyBorder="1" applyAlignment="1">
      <alignment horizontal="center" vertical="center" wrapText="1"/>
    </xf>
    <xf numFmtId="164" fontId="28" fillId="22" borderId="30" xfId="84" applyNumberFormat="1" applyFont="1" applyFill="1" applyBorder="1" applyAlignment="1">
      <alignment horizontal="center" vertical="center" wrapText="1"/>
    </xf>
    <xf numFmtId="164" fontId="30" fillId="0" borderId="0" xfId="84" applyNumberFormat="1" applyFont="1" applyAlignment="1">
      <alignment horizontal="center" wrapText="1"/>
    </xf>
    <xf numFmtId="164" fontId="29" fillId="0" borderId="0" xfId="84" applyNumberFormat="1" applyFont="1" applyAlignment="1">
      <alignment horizontal="center" vertical="center" wrapText="1"/>
    </xf>
    <xf numFmtId="164" fontId="24" fillId="23" borderId="10" xfId="84" applyNumberFormat="1" applyFont="1" applyFill="1" applyBorder="1" applyAlignment="1">
      <alignment horizontal="center" vertical="center" wrapText="1"/>
    </xf>
    <xf numFmtId="0" fontId="24" fillId="0" borderId="0" xfId="84" applyFont="1" applyAlignment="1">
      <alignment horizontal="center" vertical="center" wrapText="1"/>
    </xf>
    <xf numFmtId="164" fontId="24" fillId="0" borderId="0" xfId="84" applyNumberFormat="1" applyFont="1" applyAlignment="1">
      <alignment horizontal="center" vertical="center" wrapText="1"/>
    </xf>
    <xf numFmtId="164" fontId="30" fillId="0" borderId="0" xfId="84" applyNumberFormat="1" applyFont="1" applyAlignment="1">
      <alignment horizontal="center" vertical="center" wrapText="1"/>
    </xf>
    <xf numFmtId="164" fontId="31" fillId="0" borderId="0" xfId="84" applyNumberFormat="1" applyFont="1" applyAlignment="1">
      <alignment horizontal="center" vertical="center" wrapText="1"/>
    </xf>
    <xf numFmtId="0" fontId="19" fillId="0" borderId="10" xfId="84" applyFont="1" applyBorder="1" applyAlignment="1">
      <alignment horizontal="center" vertical="center"/>
    </xf>
    <xf numFmtId="0" fontId="24" fillId="18" borderId="10" xfId="84" applyFont="1" applyFill="1" applyBorder="1" applyAlignment="1">
      <alignment horizontal="center" vertical="center" wrapText="1"/>
    </xf>
    <xf numFmtId="4" fontId="54" fillId="0" borderId="10" xfId="84" applyNumberFormat="1" applyFont="1" applyBorder="1" applyAlignment="1">
      <alignment horizontal="center" vertical="center" wrapText="1"/>
    </xf>
    <xf numFmtId="4" fontId="54" fillId="0" borderId="17" xfId="84" applyNumberFormat="1" applyFont="1" applyBorder="1" applyAlignment="1">
      <alignment horizontal="center" vertical="center" wrapText="1"/>
    </xf>
    <xf numFmtId="164" fontId="54" fillId="0" borderId="13" xfId="84" applyNumberFormat="1" applyFont="1" applyBorder="1" applyAlignment="1">
      <alignment horizontal="center" vertical="center" wrapText="1"/>
    </xf>
    <xf numFmtId="164" fontId="41" fillId="23" borderId="10" xfId="84" applyNumberFormat="1" applyFont="1" applyFill="1" applyBorder="1" applyAlignment="1">
      <alignment horizontal="center" vertical="center" wrapText="1"/>
    </xf>
    <xf numFmtId="0" fontId="45" fillId="18" borderId="11" xfId="84" applyFont="1" applyFill="1" applyBorder="1" applyAlignment="1">
      <alignment horizontal="center" vertical="center" wrapText="1"/>
    </xf>
    <xf numFmtId="4" fontId="32" fillId="0" borderId="10" xfId="84" applyNumberFormat="1" applyFont="1" applyBorder="1" applyAlignment="1">
      <alignment horizontal="center" vertical="center" wrapText="1"/>
    </xf>
    <xf numFmtId="4" fontId="32" fillId="0" borderId="17" xfId="84" applyNumberFormat="1" applyFont="1" applyBorder="1" applyAlignment="1">
      <alignment horizontal="center" vertical="center" wrapText="1"/>
    </xf>
    <xf numFmtId="164" fontId="32" fillId="0" borderId="15" xfId="84" applyNumberFormat="1" applyFont="1" applyBorder="1" applyAlignment="1">
      <alignment horizontal="center" vertical="center" wrapText="1"/>
    </xf>
    <xf numFmtId="164" fontId="40" fillId="0" borderId="0" xfId="84" applyNumberFormat="1" applyFont="1" applyAlignment="1">
      <alignment horizontal="left" vertical="top"/>
    </xf>
    <xf numFmtId="4" fontId="32" fillId="0" borderId="11" xfId="84" applyNumberFormat="1" applyFont="1" applyBorder="1" applyAlignment="1">
      <alignment horizontal="center" vertical="center" wrapText="1"/>
    </xf>
    <xf numFmtId="4" fontId="32" fillId="0" borderId="36" xfId="84" applyNumberFormat="1" applyFont="1" applyBorder="1" applyAlignment="1">
      <alignment horizontal="center" vertical="center" wrapText="1"/>
    </xf>
    <xf numFmtId="164" fontId="32" fillId="0" borderId="13" xfId="84" applyNumberFormat="1" applyFont="1" applyBorder="1" applyAlignment="1">
      <alignment horizontal="center" vertical="center" wrapText="1"/>
    </xf>
    <xf numFmtId="0" fontId="19" fillId="0" borderId="31" xfId="84" applyFont="1" applyBorder="1" applyAlignment="1">
      <alignment horizontal="center" vertical="center"/>
    </xf>
    <xf numFmtId="0" fontId="19" fillId="0" borderId="0" xfId="84" applyFont="1" applyAlignment="1">
      <alignment horizontal="left" vertical="center"/>
    </xf>
    <xf numFmtId="164" fontId="32" fillId="22" borderId="13" xfId="84" applyNumberFormat="1" applyFont="1" applyFill="1" applyBorder="1" applyAlignment="1">
      <alignment horizontal="center" vertical="center" wrapText="1"/>
    </xf>
    <xf numFmtId="0" fontId="24" fillId="0" borderId="11" xfId="84" applyFont="1" applyBorder="1" applyAlignment="1">
      <alignment horizontal="center" vertical="center" wrapText="1"/>
    </xf>
    <xf numFmtId="9" fontId="24" fillId="0" borderId="10" xfId="84" applyNumberFormat="1" applyFont="1" applyBorder="1" applyAlignment="1">
      <alignment horizontal="center" vertical="center" wrapText="1"/>
    </xf>
    <xf numFmtId="9" fontId="24" fillId="0" borderId="12" xfId="84" applyNumberFormat="1" applyFont="1" applyBorder="1" applyAlignment="1">
      <alignment horizontal="center" vertical="center" wrapText="1"/>
    </xf>
    <xf numFmtId="9" fontId="24" fillId="0" borderId="13" xfId="84" applyNumberFormat="1" applyFont="1" applyBorder="1" applyAlignment="1">
      <alignment horizontal="center" vertical="center" wrapText="1"/>
    </xf>
    <xf numFmtId="4" fontId="19" fillId="0" borderId="31" xfId="84" applyNumberFormat="1" applyFont="1" applyBorder="1" applyAlignment="1">
      <alignment horizontal="center" vertical="center"/>
    </xf>
    <xf numFmtId="164" fontId="24" fillId="0" borderId="0" xfId="84" applyNumberFormat="1" applyFont="1" applyAlignment="1">
      <alignment horizontal="left" vertical="center"/>
    </xf>
    <xf numFmtId="14" fontId="24" fillId="23" borderId="10" xfId="84" applyNumberFormat="1" applyFont="1" applyFill="1" applyBorder="1" applyAlignment="1">
      <alignment horizontal="center" vertical="center" wrapText="1"/>
    </xf>
    <xf numFmtId="4" fontId="24" fillId="23" borderId="10" xfId="84" applyNumberFormat="1" applyFont="1" applyFill="1" applyBorder="1" applyAlignment="1">
      <alignment horizontal="center" vertical="center" wrapText="1"/>
    </xf>
    <xf numFmtId="4" fontId="24" fillId="23" borderId="12" xfId="84" applyNumberFormat="1" applyFont="1" applyFill="1" applyBorder="1" applyAlignment="1">
      <alignment horizontal="center" vertical="center" wrapText="1"/>
    </xf>
    <xf numFmtId="164" fontId="24" fillId="23" borderId="13" xfId="84" applyNumberFormat="1" applyFont="1" applyFill="1" applyBorder="1" applyAlignment="1">
      <alignment horizontal="center" vertical="center" wrapText="1"/>
    </xf>
    <xf numFmtId="14" fontId="24" fillId="0" borderId="0" xfId="84" applyNumberFormat="1" applyFont="1" applyAlignment="1">
      <alignment horizontal="center" vertical="center" wrapText="1"/>
    </xf>
    <xf numFmtId="4" fontId="24" fillId="0" borderId="0" xfId="84" applyNumberFormat="1" applyFont="1" applyAlignment="1">
      <alignment horizontal="center" vertical="center" wrapText="1"/>
    </xf>
    <xf numFmtId="14" fontId="33" fillId="0" borderId="0" xfId="84" applyNumberFormat="1" applyFont="1" applyAlignment="1">
      <alignment horizontal="left" vertical="center"/>
    </xf>
    <xf numFmtId="4" fontId="34" fillId="0" borderId="0" xfId="84" applyNumberFormat="1" applyFont="1" applyAlignment="1">
      <alignment horizontal="center" vertical="center" wrapText="1"/>
    </xf>
    <xf numFmtId="164" fontId="34" fillId="0" borderId="0" xfId="84" applyNumberFormat="1" applyFont="1" applyAlignment="1">
      <alignment horizontal="center" vertical="center" wrapText="1"/>
    </xf>
    <xf numFmtId="4" fontId="19" fillId="0" borderId="0" xfId="84" applyNumberFormat="1" applyFont="1" applyAlignment="1">
      <alignment horizontal="left" vertical="center" wrapText="1"/>
    </xf>
    <xf numFmtId="4" fontId="24" fillId="0" borderId="23" xfId="84" applyNumberFormat="1" applyFont="1" applyBorder="1" applyAlignment="1">
      <alignment horizontal="left" vertical="center"/>
    </xf>
    <xf numFmtId="4" fontId="24" fillId="0" borderId="23" xfId="84" applyNumberFormat="1" applyFont="1" applyBorder="1" applyAlignment="1">
      <alignment horizontal="center" vertical="center"/>
    </xf>
    <xf numFmtId="0" fontId="24" fillId="0" borderId="0" xfId="84" applyFont="1" applyAlignment="1">
      <alignment horizontal="left" vertical="center"/>
    </xf>
    <xf numFmtId="0" fontId="27" fillId="0" borderId="14" xfId="84" applyFont="1" applyBorder="1" applyAlignment="1">
      <alignment horizontal="center" vertical="center"/>
    </xf>
    <xf numFmtId="0" fontId="27" fillId="21" borderId="10" xfId="84" applyFont="1" applyFill="1" applyBorder="1" applyAlignment="1">
      <alignment horizontal="center" vertical="center"/>
    </xf>
    <xf numFmtId="0" fontId="27" fillId="0" borderId="10" xfId="84" applyFont="1" applyBorder="1" applyAlignment="1">
      <alignment horizontal="center" vertical="center"/>
    </xf>
    <xf numFmtId="0" fontId="27" fillId="0" borderId="0" xfId="84" applyFont="1" applyAlignment="1">
      <alignment vertical="center"/>
    </xf>
    <xf numFmtId="0" fontId="24" fillId="0" borderId="23" xfId="84" applyFont="1" applyBorder="1" applyAlignment="1">
      <alignment horizontal="center" vertical="center" wrapText="1"/>
    </xf>
    <xf numFmtId="0" fontId="24" fillId="20" borderId="10" xfId="84" applyFont="1" applyFill="1" applyBorder="1" applyAlignment="1">
      <alignment horizontal="center" vertical="center" wrapText="1"/>
    </xf>
    <xf numFmtId="4" fontId="19" fillId="21" borderId="27" xfId="84" applyNumberFormat="1" applyFont="1" applyFill="1" applyBorder="1" applyAlignment="1">
      <alignment horizontal="center" vertical="center"/>
    </xf>
    <xf numFmtId="4" fontId="24" fillId="0" borderId="11" xfId="84" applyNumberFormat="1" applyFont="1" applyBorder="1" applyAlignment="1">
      <alignment horizontal="center" vertical="center"/>
    </xf>
    <xf numFmtId="4" fontId="35" fillId="0" borderId="0" xfId="84" applyNumberFormat="1" applyFont="1" applyAlignment="1">
      <alignment horizontal="center" vertical="center" wrapText="1"/>
    </xf>
    <xf numFmtId="0" fontId="26" fillId="0" borderId="12" xfId="84" applyFont="1" applyBorder="1" applyAlignment="1">
      <alignment horizontal="center" vertical="center" wrapText="1"/>
    </xf>
    <xf numFmtId="0" fontId="27" fillId="20" borderId="10" xfId="84" applyFont="1" applyFill="1" applyBorder="1" applyAlignment="1">
      <alignment horizontal="center" vertical="center" wrapText="1"/>
    </xf>
    <xf numFmtId="4" fontId="19" fillId="21" borderId="14" xfId="84" applyNumberFormat="1" applyFont="1" applyFill="1" applyBorder="1" applyAlignment="1">
      <alignment horizontal="center" vertical="center"/>
    </xf>
    <xf numFmtId="0" fontId="24" fillId="0" borderId="12" xfId="84" applyFont="1" applyBorder="1" applyAlignment="1">
      <alignment horizontal="center" vertical="center" wrapText="1"/>
    </xf>
    <xf numFmtId="4" fontId="19" fillId="20" borderId="11" xfId="84" applyNumberFormat="1" applyFont="1" applyFill="1" applyBorder="1" applyAlignment="1">
      <alignment horizontal="center" vertical="center"/>
    </xf>
    <xf numFmtId="4" fontId="19" fillId="20" borderId="10" xfId="84" applyNumberFormat="1" applyFont="1" applyFill="1" applyBorder="1" applyAlignment="1">
      <alignment horizontal="center" vertical="center"/>
    </xf>
    <xf numFmtId="0" fontId="19" fillId="0" borderId="11" xfId="84" applyFont="1" applyBorder="1" applyAlignment="1">
      <alignment horizontal="center" vertical="center"/>
    </xf>
    <xf numFmtId="4" fontId="19" fillId="21" borderId="12" xfId="84" applyNumberFormat="1" applyFont="1" applyFill="1" applyBorder="1" applyAlignment="1">
      <alignment horizontal="center" vertical="center" wrapText="1"/>
    </xf>
    <xf numFmtId="4" fontId="19" fillId="0" borderId="27" xfId="84" applyNumberFormat="1" applyFont="1" applyBorder="1" applyAlignment="1">
      <alignment horizontal="center" vertical="center"/>
    </xf>
    <xf numFmtId="4" fontId="37" fillId="0" borderId="0" xfId="84" applyNumberFormat="1" applyFont="1" applyAlignment="1">
      <alignment horizontal="center" vertical="center" wrapText="1"/>
    </xf>
    <xf numFmtId="9" fontId="19" fillId="0" borderId="0" xfId="84" applyNumberFormat="1" applyFont="1" applyAlignment="1">
      <alignment horizontal="center" vertical="center"/>
    </xf>
    <xf numFmtId="0" fontId="28" fillId="22" borderId="12" xfId="84" applyFont="1" applyFill="1" applyBorder="1" applyAlignment="1">
      <alignment horizontal="center" vertical="center" wrapText="1"/>
    </xf>
    <xf numFmtId="164" fontId="28" fillId="20" borderId="10" xfId="84" applyNumberFormat="1" applyFont="1" applyFill="1" applyBorder="1" applyAlignment="1">
      <alignment horizontal="center" vertical="center" wrapText="1"/>
    </xf>
    <xf numFmtId="9" fontId="46" fillId="0" borderId="0" xfId="84" applyNumberFormat="1" applyFont="1" applyAlignment="1">
      <alignment horizontal="left" vertical="center"/>
    </xf>
    <xf numFmtId="0" fontId="28" fillId="0" borderId="0" xfId="84" applyFont="1" applyAlignment="1">
      <alignment horizontal="center" vertical="center" wrapText="1"/>
    </xf>
    <xf numFmtId="164" fontId="28" fillId="0" borderId="0" xfId="84" applyNumberFormat="1" applyFont="1" applyAlignment="1">
      <alignment horizontal="center" vertical="center" wrapText="1"/>
    </xf>
    <xf numFmtId="4" fontId="42" fillId="0" borderId="0" xfId="84" applyNumberFormat="1" applyFont="1" applyAlignment="1">
      <alignment horizontal="center" vertical="center" wrapText="1"/>
    </xf>
    <xf numFmtId="14" fontId="19" fillId="0" borderId="0" xfId="84" applyNumberFormat="1" applyFont="1" applyAlignment="1">
      <alignment horizontal="left" vertical="center"/>
    </xf>
    <xf numFmtId="4" fontId="19" fillId="0" borderId="0" xfId="84" applyNumberFormat="1" applyFont="1" applyAlignment="1">
      <alignment horizontal="center" vertical="center" wrapText="1"/>
    </xf>
    <xf numFmtId="0" fontId="36" fillId="0" borderId="0" xfId="84" applyFont="1" applyAlignment="1">
      <alignment horizontal="left" vertical="center"/>
    </xf>
    <xf numFmtId="0" fontId="36" fillId="0" borderId="0" xfId="84" applyFont="1" applyAlignment="1">
      <alignment horizontal="center" vertical="center"/>
    </xf>
    <xf numFmtId="0" fontId="43" fillId="0" borderId="0" xfId="84" applyFont="1" applyAlignment="1">
      <alignment horizontal="left" vertical="center"/>
    </xf>
    <xf numFmtId="0" fontId="24" fillId="0" borderId="36" xfId="84" applyFont="1" applyBorder="1" applyAlignment="1">
      <alignment vertical="center"/>
    </xf>
    <xf numFmtId="0" fontId="24" fillId="19" borderId="12" xfId="84" applyFont="1" applyFill="1" applyBorder="1" applyAlignment="1">
      <alignment horizontal="center" vertical="center" wrapText="1"/>
    </xf>
    <xf numFmtId="0" fontId="27" fillId="19" borderId="32" xfId="84" applyFont="1" applyFill="1" applyBorder="1" applyAlignment="1">
      <alignment horizontal="center" vertical="center" wrapText="1"/>
    </xf>
    <xf numFmtId="0" fontId="27" fillId="19" borderId="35" xfId="84" applyFont="1" applyFill="1" applyBorder="1" applyAlignment="1">
      <alignment horizontal="center" vertical="center" wrapText="1"/>
    </xf>
    <xf numFmtId="164" fontId="19" fillId="0" borderId="13" xfId="84" applyNumberFormat="1" applyFont="1" applyBorder="1" applyAlignment="1">
      <alignment horizontal="center" vertical="center" wrapText="1"/>
    </xf>
    <xf numFmtId="4" fontId="19" fillId="0" borderId="17" xfId="84" applyNumberFormat="1" applyFont="1" applyBorder="1" applyAlignment="1">
      <alignment horizontal="center" vertical="center"/>
    </xf>
    <xf numFmtId="164" fontId="19" fillId="22" borderId="19" xfId="84" applyNumberFormat="1" applyFont="1" applyFill="1" applyBorder="1" applyAlignment="1">
      <alignment horizontal="center" vertical="center"/>
    </xf>
    <xf numFmtId="164" fontId="19" fillId="21" borderId="19" xfId="84" applyNumberFormat="1" applyFont="1" applyFill="1" applyBorder="1" applyAlignment="1">
      <alignment horizontal="center" vertical="center"/>
    </xf>
    <xf numFmtId="4" fontId="19" fillId="24" borderId="21" xfId="84" applyNumberFormat="1" applyFont="1" applyFill="1" applyBorder="1" applyAlignment="1">
      <alignment horizontal="center" vertical="center"/>
    </xf>
    <xf numFmtId="4" fontId="19" fillId="23" borderId="19" xfId="84" applyNumberFormat="1" applyFont="1" applyFill="1" applyBorder="1" applyAlignment="1">
      <alignment horizontal="center" vertical="center"/>
    </xf>
    <xf numFmtId="164" fontId="19" fillId="0" borderId="33" xfId="84" applyNumberFormat="1" applyFont="1" applyBorder="1" applyAlignment="1">
      <alignment horizontal="center" vertical="center" wrapText="1"/>
    </xf>
    <xf numFmtId="4" fontId="19" fillId="24" borderId="18" xfId="84" applyNumberFormat="1" applyFont="1" applyFill="1" applyBorder="1" applyAlignment="1">
      <alignment horizontal="center" vertical="center"/>
    </xf>
    <xf numFmtId="4" fontId="19" fillId="23" borderId="15" xfId="84" applyNumberFormat="1" applyFont="1" applyFill="1" applyBorder="1" applyAlignment="1">
      <alignment horizontal="center" vertical="center"/>
    </xf>
    <xf numFmtId="164" fontId="19" fillId="0" borderId="10" xfId="84" applyNumberFormat="1" applyFont="1" applyBorder="1" applyAlignment="1">
      <alignment vertical="center"/>
    </xf>
    <xf numFmtId="164" fontId="19" fillId="21" borderId="10" xfId="84" applyNumberFormat="1" applyFont="1" applyFill="1" applyBorder="1" applyAlignment="1">
      <alignment horizontal="center" vertical="center"/>
    </xf>
    <xf numFmtId="164" fontId="19" fillId="0" borderId="34" xfId="84" applyNumberFormat="1" applyFont="1" applyBorder="1" applyAlignment="1">
      <alignment horizontal="center" vertical="center" wrapText="1"/>
    </xf>
    <xf numFmtId="4" fontId="19" fillId="0" borderId="35" xfId="84" applyNumberFormat="1" applyFont="1" applyBorder="1" applyAlignment="1">
      <alignment horizontal="center" vertical="center"/>
    </xf>
    <xf numFmtId="164" fontId="24" fillId="22" borderId="23" xfId="84" applyNumberFormat="1" applyFont="1" applyFill="1" applyBorder="1" applyAlignment="1">
      <alignment horizontal="center" vertical="center"/>
    </xf>
    <xf numFmtId="4" fontId="19" fillId="24" borderId="29" xfId="84" applyNumberFormat="1" applyFont="1" applyFill="1" applyBorder="1" applyAlignment="1">
      <alignment horizontal="center" vertical="center"/>
    </xf>
    <xf numFmtId="164" fontId="28" fillId="22" borderId="17" xfId="84" applyNumberFormat="1" applyFont="1" applyFill="1" applyBorder="1" applyAlignment="1">
      <alignment horizontal="center" vertical="center" wrapText="1"/>
    </xf>
    <xf numFmtId="164" fontId="24" fillId="22" borderId="19" xfId="84" applyNumberFormat="1" applyFont="1" applyFill="1" applyBorder="1" applyAlignment="1">
      <alignment horizontal="center" vertical="center"/>
    </xf>
    <xf numFmtId="164" fontId="24" fillId="0" borderId="31" xfId="84" applyNumberFormat="1" applyFont="1" applyBorder="1" applyAlignment="1">
      <alignment horizontal="center" vertical="center"/>
    </xf>
    <xf numFmtId="4" fontId="37" fillId="0" borderId="22" xfId="84" applyNumberFormat="1" applyFont="1" applyBorder="1" applyAlignment="1">
      <alignment horizontal="center" vertical="center"/>
    </xf>
    <xf numFmtId="4" fontId="24" fillId="23" borderId="10" xfId="84" applyNumberFormat="1" applyFont="1" applyFill="1" applyBorder="1" applyAlignment="1">
      <alignment horizontal="center" vertical="center"/>
    </xf>
    <xf numFmtId="0" fontId="28" fillId="0" borderId="16" xfId="84" applyFont="1" applyBorder="1" applyAlignment="1">
      <alignment horizontal="center" vertical="center" wrapText="1"/>
    </xf>
    <xf numFmtId="4" fontId="37" fillId="0" borderId="0" xfId="84" applyNumberFormat="1" applyFont="1" applyAlignment="1">
      <alignment horizontal="center" vertical="center"/>
    </xf>
    <xf numFmtId="164" fontId="28" fillId="0" borderId="13" xfId="84" applyNumberFormat="1" applyFont="1" applyBorder="1" applyAlignment="1">
      <alignment horizontal="center" vertical="center" wrapText="1"/>
    </xf>
    <xf numFmtId="164" fontId="24" fillId="0" borderId="13" xfId="84" applyNumberFormat="1" applyFont="1" applyBorder="1" applyAlignment="1">
      <alignment horizontal="center" vertical="center"/>
    </xf>
    <xf numFmtId="4" fontId="41" fillId="23" borderId="10" xfId="84" applyNumberFormat="1" applyFont="1" applyFill="1" applyBorder="1" applyAlignment="1">
      <alignment horizontal="center" vertical="center" wrapText="1"/>
    </xf>
    <xf numFmtId="0" fontId="45" fillId="18" borderId="10" xfId="84" applyFont="1" applyFill="1" applyBorder="1" applyAlignment="1">
      <alignment horizontal="center" vertical="center" wrapText="1"/>
    </xf>
    <xf numFmtId="164" fontId="28" fillId="0" borderId="15" xfId="84" applyNumberFormat="1" applyFont="1" applyBorder="1" applyAlignment="1">
      <alignment horizontal="center" vertical="center" wrapText="1"/>
    </xf>
    <xf numFmtId="164" fontId="28" fillId="0" borderId="26" xfId="84" applyNumberFormat="1" applyFont="1" applyBorder="1" applyAlignment="1">
      <alignment horizontal="center" vertical="center" wrapText="1"/>
    </xf>
    <xf numFmtId="164" fontId="50" fillId="0" borderId="15" xfId="84" applyNumberFormat="1" applyFont="1" applyBorder="1" applyAlignment="1">
      <alignment horizontal="center" vertical="center" wrapText="1"/>
    </xf>
    <xf numFmtId="164" fontId="50" fillId="0" borderId="26" xfId="84" applyNumberFormat="1" applyFont="1" applyBorder="1" applyAlignment="1">
      <alignment horizontal="center" vertical="center" wrapText="1"/>
    </xf>
    <xf numFmtId="164" fontId="51" fillId="22" borderId="13" xfId="84" applyNumberFormat="1" applyFont="1" applyFill="1" applyBorder="1" applyAlignment="1">
      <alignment horizontal="center" vertical="center"/>
    </xf>
    <xf numFmtId="0" fontId="24" fillId="0" borderId="10" xfId="84" applyFont="1" applyBorder="1" applyAlignment="1">
      <alignment horizontal="center" vertical="center" wrapText="1"/>
    </xf>
    <xf numFmtId="9" fontId="24" fillId="0" borderId="12" xfId="84" quotePrefix="1" applyNumberFormat="1" applyFont="1" applyBorder="1" applyAlignment="1">
      <alignment horizontal="center" vertical="center" wrapText="1"/>
    </xf>
    <xf numFmtId="4" fontId="31" fillId="0" borderId="0" xfId="84" applyNumberFormat="1" applyFont="1" applyAlignment="1">
      <alignment horizontal="center" vertical="center"/>
    </xf>
    <xf numFmtId="0" fontId="26" fillId="0" borderId="0" xfId="84" applyFont="1" applyAlignment="1">
      <alignment horizontal="center" vertical="center"/>
    </xf>
    <xf numFmtId="0" fontId="39" fillId="0" borderId="0" xfId="84" applyFont="1" applyAlignment="1">
      <alignment horizontal="left" vertical="center"/>
    </xf>
    <xf numFmtId="165" fontId="19" fillId="0" borderId="0" xfId="84" applyNumberFormat="1" applyFont="1" applyAlignment="1">
      <alignment horizontal="center" vertical="center"/>
    </xf>
    <xf numFmtId="4" fontId="24" fillId="0" borderId="0" xfId="85" applyNumberFormat="1" applyFont="1" applyAlignment="1">
      <alignment horizontal="center" vertical="center" wrapText="1"/>
    </xf>
    <xf numFmtId="4" fontId="24" fillId="23" borderId="13" xfId="84" applyNumberFormat="1" applyFont="1" applyFill="1" applyBorder="1" applyAlignment="1">
      <alignment horizontal="center" vertical="center" wrapText="1"/>
    </xf>
    <xf numFmtId="4" fontId="24" fillId="0" borderId="0" xfId="84" applyNumberFormat="1" applyFont="1" applyAlignment="1">
      <alignment horizontal="left" vertical="center"/>
    </xf>
    <xf numFmtId="4" fontId="24" fillId="0" borderId="0" xfId="84" applyNumberFormat="1" applyFont="1" applyAlignment="1">
      <alignment horizontal="center" vertical="center"/>
    </xf>
    <xf numFmtId="4" fontId="19" fillId="0" borderId="14" xfId="84" applyNumberFormat="1" applyFont="1" applyBorder="1" applyAlignment="1">
      <alignment horizontal="center" vertical="center"/>
    </xf>
    <xf numFmtId="4" fontId="19" fillId="21" borderId="10" xfId="84" applyNumberFormat="1" applyFont="1" applyFill="1" applyBorder="1" applyAlignment="1">
      <alignment horizontal="center" vertical="center" wrapText="1"/>
    </xf>
    <xf numFmtId="0" fontId="37" fillId="0" borderId="16" xfId="84" applyFont="1" applyBorder="1" applyAlignment="1">
      <alignment horizontal="right" vertical="center"/>
    </xf>
    <xf numFmtId="4" fontId="25" fillId="0" borderId="0" xfId="84" applyNumberFormat="1" applyFont="1" applyAlignment="1">
      <alignment horizontal="right" vertical="center"/>
    </xf>
    <xf numFmtId="4" fontId="52" fillId="0" borderId="0" xfId="84" applyNumberFormat="1" applyFont="1" applyAlignment="1">
      <alignment horizontal="center" vertical="center" wrapText="1"/>
    </xf>
    <xf numFmtId="14" fontId="19" fillId="0" borderId="0" xfId="84" applyNumberFormat="1" applyFont="1" applyAlignment="1">
      <alignment horizontal="center" vertical="center"/>
    </xf>
    <xf numFmtId="4" fontId="24" fillId="24" borderId="18" xfId="0" applyNumberFormat="1" applyFont="1" applyFill="1" applyBorder="1" applyAlignment="1">
      <alignment horizontal="center" vertical="center"/>
    </xf>
    <xf numFmtId="164" fontId="24" fillId="21" borderId="19" xfId="0" applyNumberFormat="1" applyFont="1" applyFill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 wrapText="1"/>
    </xf>
    <xf numFmtId="165" fontId="24" fillId="23" borderId="14" xfId="0" applyNumberFormat="1" applyFont="1" applyFill="1" applyBorder="1" applyAlignment="1">
      <alignment horizontal="center" vertical="center" wrapText="1"/>
    </xf>
    <xf numFmtId="165" fontId="24" fillId="23" borderId="11" xfId="0" applyNumberFormat="1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0" fontId="24" fillId="22" borderId="16" xfId="0" applyFont="1" applyFill="1" applyBorder="1" applyAlignment="1">
      <alignment horizontal="center" vertical="center" wrapText="1"/>
    </xf>
    <xf numFmtId="0" fontId="24" fillId="22" borderId="2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22" borderId="37" xfId="0" applyFont="1" applyFill="1" applyBorder="1" applyAlignment="1">
      <alignment horizontal="center" vertical="center" wrapText="1"/>
    </xf>
    <xf numFmtId="0" fontId="24" fillId="22" borderId="38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horizontal="center" vertical="center" wrapText="1"/>
    </xf>
    <xf numFmtId="2" fontId="24" fillId="23" borderId="24" xfId="0" applyNumberFormat="1" applyFont="1" applyFill="1" applyBorder="1" applyAlignment="1">
      <alignment horizontal="center" vertical="center" wrapText="1"/>
    </xf>
    <xf numFmtId="2" fontId="24" fillId="23" borderId="25" xfId="0" applyNumberFormat="1" applyFont="1" applyFill="1" applyBorder="1" applyAlignment="1">
      <alignment horizontal="center" vertical="center" wrapText="1"/>
    </xf>
    <xf numFmtId="2" fontId="24" fillId="23" borderId="24" xfId="84" applyNumberFormat="1" applyFont="1" applyFill="1" applyBorder="1" applyAlignment="1">
      <alignment horizontal="center" vertical="center" wrapText="1"/>
    </xf>
    <xf numFmtId="2" fontId="24" fillId="23" borderId="25" xfId="84" applyNumberFormat="1" applyFont="1" applyFill="1" applyBorder="1" applyAlignment="1">
      <alignment horizontal="center" vertical="center" wrapText="1"/>
    </xf>
    <xf numFmtId="0" fontId="24" fillId="23" borderId="14" xfId="84" applyFont="1" applyFill="1" applyBorder="1" applyAlignment="1">
      <alignment horizontal="center" vertical="center" wrapText="1"/>
    </xf>
    <xf numFmtId="0" fontId="24" fillId="23" borderId="11" xfId="84" applyFont="1" applyFill="1" applyBorder="1" applyAlignment="1">
      <alignment horizontal="center" vertical="center" wrapText="1"/>
    </xf>
    <xf numFmtId="4" fontId="25" fillId="0" borderId="0" xfId="84" applyNumberFormat="1" applyFont="1" applyAlignment="1">
      <alignment horizontal="right" vertical="center" wrapText="1"/>
    </xf>
    <xf numFmtId="0" fontId="24" fillId="22" borderId="37" xfId="84" applyFont="1" applyFill="1" applyBorder="1" applyAlignment="1">
      <alignment horizontal="center" vertical="center" wrapText="1"/>
    </xf>
    <xf numFmtId="0" fontId="24" fillId="22" borderId="38" xfId="84" applyFont="1" applyFill="1" applyBorder="1" applyAlignment="1">
      <alignment horizontal="center" vertical="center" wrapText="1"/>
    </xf>
    <xf numFmtId="0" fontId="24" fillId="21" borderId="22" xfId="84" applyFont="1" applyFill="1" applyBorder="1" applyAlignment="1">
      <alignment horizontal="center" vertical="center" wrapText="1"/>
    </xf>
    <xf numFmtId="0" fontId="24" fillId="21" borderId="19" xfId="84" applyFont="1" applyFill="1" applyBorder="1" applyAlignment="1">
      <alignment horizontal="center" vertical="center" wrapText="1"/>
    </xf>
    <xf numFmtId="0" fontId="24" fillId="24" borderId="20" xfId="84" applyFont="1" applyFill="1" applyBorder="1" applyAlignment="1">
      <alignment horizontal="center" vertical="center" wrapText="1"/>
    </xf>
    <xf numFmtId="0" fontId="24" fillId="24" borderId="21" xfId="84" applyFont="1" applyFill="1" applyBorder="1" applyAlignment="1">
      <alignment horizontal="center" vertical="center" wrapText="1"/>
    </xf>
    <xf numFmtId="0" fontId="37" fillId="0" borderId="0" xfId="84" applyFont="1" applyAlignment="1">
      <alignment horizontal="right" vertical="center"/>
    </xf>
    <xf numFmtId="49" fontId="24" fillId="0" borderId="10" xfId="84" applyNumberFormat="1" applyFont="1" applyBorder="1" applyAlignment="1">
      <alignment horizontal="center" vertical="center"/>
    </xf>
    <xf numFmtId="0" fontId="24" fillId="23" borderId="10" xfId="84" applyFont="1" applyFill="1" applyBorder="1" applyAlignment="1">
      <alignment horizontal="center" vertical="center" wrapText="1"/>
    </xf>
    <xf numFmtId="0" fontId="24" fillId="0" borderId="12" xfId="84" applyFont="1" applyBorder="1" applyAlignment="1">
      <alignment horizontal="center" vertical="center"/>
    </xf>
    <xf numFmtId="0" fontId="24" fillId="0" borderId="26" xfId="84" applyFont="1" applyBorder="1" applyAlignment="1">
      <alignment horizontal="center" vertical="center"/>
    </xf>
    <xf numFmtId="0" fontId="24" fillId="0" borderId="15" xfId="84" applyFont="1" applyBorder="1" applyAlignment="1">
      <alignment horizontal="center" vertical="center"/>
    </xf>
    <xf numFmtId="0" fontId="24" fillId="22" borderId="16" xfId="84" applyFont="1" applyFill="1" applyBorder="1" applyAlignment="1">
      <alignment horizontal="center" vertical="center" wrapText="1"/>
    </xf>
    <xf numFmtId="0" fontId="24" fillId="22" borderId="23" xfId="84" applyFont="1" applyFill="1" applyBorder="1" applyAlignment="1">
      <alignment horizontal="center" vertical="center" wrapText="1"/>
    </xf>
    <xf numFmtId="0" fontId="24" fillId="21" borderId="10" xfId="84" applyFont="1" applyFill="1" applyBorder="1" applyAlignment="1">
      <alignment horizontal="center" vertical="center" wrapText="1"/>
    </xf>
    <xf numFmtId="165" fontId="24" fillId="23" borderId="14" xfId="84" applyNumberFormat="1" applyFont="1" applyFill="1" applyBorder="1" applyAlignment="1">
      <alignment horizontal="center" vertical="center" wrapText="1"/>
    </xf>
    <xf numFmtId="165" fontId="24" fillId="23" borderId="11" xfId="84" applyNumberFormat="1" applyFont="1" applyFill="1" applyBorder="1" applyAlignment="1">
      <alignment horizontal="center" vertical="center" wrapText="1"/>
    </xf>
  </cellXfs>
  <cellStyles count="86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 % – Zvýraznění 1" xfId="13" builtinId="31" customBuiltin="1"/>
    <cellStyle name="40 % – Zvýraznění 2" xfId="14" builtinId="35" customBuiltin="1"/>
    <cellStyle name="40 % – Zvýraznění 3" xfId="15" builtinId="39" customBuiltin="1"/>
    <cellStyle name="40 % – Zvýraznění 4" xfId="16" builtinId="43" customBuiltin="1"/>
    <cellStyle name="40 % – Zvýraznění 5" xfId="17" builtinId="47" customBuiltin="1"/>
    <cellStyle name="40 % – Zvýraznění 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 % – Zvýraznění 1" xfId="25" builtinId="32" customBuiltin="1"/>
    <cellStyle name="60 % – Zvýraznění 2" xfId="26" builtinId="36" customBuiltin="1"/>
    <cellStyle name="60 % – Zvýraznění 3" xfId="27" builtinId="40" customBuiltin="1"/>
    <cellStyle name="60 % – Zvýraznění 4" xfId="28" builtinId="44" customBuiltin="1"/>
    <cellStyle name="60 % – Zvýraznění 5" xfId="29" builtinId="48" customBuiltin="1"/>
    <cellStyle name="60 % – Zvýraznění 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elkem" xfId="45" builtinId="25" customBuiltin="1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Check Cell" xfId="52" xr:uid="{00000000-0005-0000-0000-000033000000}"/>
    <cellStyle name="Chybně" xfId="53" xr:uid="{00000000-0005-0000-0000-000034000000}"/>
    <cellStyle name="Input" xfId="54" xr:uid="{00000000-0005-0000-0000-000035000000}"/>
    <cellStyle name="Kontrolní buňka" xfId="55" builtinId="23" customBuiltin="1"/>
    <cellStyle name="Linked Cell" xfId="56" xr:uid="{00000000-0005-0000-0000-000037000000}"/>
    <cellStyle name="Měna" xfId="83" builtinId="4"/>
    <cellStyle name="Měna 2" xfId="85" xr:uid="{B5A45B05-84E9-41CE-AA39-D8EDD64576E5}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 xr:uid="{00000000-0005-0000-0000-00003E000000}"/>
    <cellStyle name="Neutrální" xfId="63" builtinId="28" customBuiltin="1"/>
    <cellStyle name="Normální" xfId="0" builtinId="0"/>
    <cellStyle name="Normální 2" xfId="84" xr:uid="{FE411F17-F02D-4D56-BE9A-C07623F856DB}"/>
    <cellStyle name="Note" xfId="64" xr:uid="{00000000-0005-0000-0000-000041000000}"/>
    <cellStyle name="Output" xfId="65" xr:uid="{00000000-0005-0000-0000-000042000000}"/>
    <cellStyle name="Poznámka" xfId="66" builtinId="10" customBuiltin="1"/>
    <cellStyle name="Propojená buňka" xfId="67" builtinId="24" customBuiltin="1"/>
    <cellStyle name="Správně" xfId="68" builtinId="26" customBuiltin="1"/>
    <cellStyle name="Text upozornění" xfId="69" builtinId="11" customBuiltin="1"/>
    <cellStyle name="Title" xfId="70" xr:uid="{00000000-0005-0000-0000-000047000000}"/>
    <cellStyle name="Total" xfId="71" xr:uid="{00000000-0005-0000-0000-000048000000}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 xr:uid="{00000000-0005-0000-0000-00004D000000}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FFFF99"/>
      <color rgb="FFFFCCCC"/>
      <color rgb="FFFFFFCC"/>
      <color rgb="FFFF7C80"/>
      <color rgb="FFCCFFCC"/>
      <color rgb="FFFC4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tabColor rgb="FFFF7C80"/>
  </sheetPr>
  <dimension ref="A1:N99"/>
  <sheetViews>
    <sheetView tabSelected="1" zoomScale="110" zoomScaleNormal="110" zoomScalePageLayoutView="90" workbookViewId="0">
      <selection activeCell="J40" sqref="J40"/>
    </sheetView>
  </sheetViews>
  <sheetFormatPr defaultRowHeight="12.75" x14ac:dyDescent="0.2"/>
  <cols>
    <col min="1" max="1" width="12.85546875" style="7" customWidth="1"/>
    <col min="2" max="2" width="14.42578125" style="7" customWidth="1"/>
    <col min="3" max="3" width="14.85546875" style="7" customWidth="1"/>
    <col min="4" max="4" width="15.28515625" style="7" customWidth="1"/>
    <col min="5" max="5" width="14.28515625" style="7" customWidth="1"/>
    <col min="6" max="6" width="16.42578125" style="7" customWidth="1"/>
    <col min="7" max="7" width="14.42578125" style="7" customWidth="1"/>
    <col min="8" max="8" width="13.5703125" style="7" customWidth="1"/>
    <col min="9" max="9" width="17" style="7" customWidth="1"/>
    <col min="10" max="10" width="14.5703125" style="7" customWidth="1"/>
    <col min="11" max="11" width="14.140625" style="7" customWidth="1"/>
    <col min="12" max="12" width="15.28515625" style="7" customWidth="1"/>
    <col min="13" max="13" width="14.85546875" style="7" customWidth="1"/>
    <col min="14" max="16384" width="9.140625" style="7"/>
  </cols>
  <sheetData>
    <row r="1" spans="1:14" ht="15.75" x14ac:dyDescent="0.2">
      <c r="A1" s="5" t="s">
        <v>75</v>
      </c>
      <c r="B1" s="6"/>
      <c r="C1" s="6"/>
      <c r="D1" s="6"/>
      <c r="E1" s="6"/>
      <c r="F1" s="6"/>
      <c r="G1" s="6"/>
    </row>
    <row r="2" spans="1:14" x14ac:dyDescent="0.2">
      <c r="A2" s="8"/>
      <c r="N2" s="115"/>
    </row>
    <row r="3" spans="1:14" x14ac:dyDescent="0.2">
      <c r="B3" s="6"/>
      <c r="C3" s="6"/>
      <c r="D3" s="6"/>
      <c r="E3" s="106"/>
      <c r="F3" s="6"/>
      <c r="G3" s="6"/>
      <c r="H3" s="106"/>
      <c r="L3" s="115"/>
      <c r="M3" s="115"/>
    </row>
    <row r="4" spans="1:14" s="85" customFormat="1" x14ac:dyDescent="0.2">
      <c r="A4" s="85" t="s">
        <v>17</v>
      </c>
      <c r="B4" s="371">
        <v>2022</v>
      </c>
      <c r="C4" s="372"/>
      <c r="D4" s="372"/>
      <c r="E4" s="372"/>
      <c r="F4" s="372"/>
      <c r="G4" s="372"/>
      <c r="H4" s="372"/>
      <c r="I4" s="372"/>
      <c r="J4" s="372"/>
      <c r="K4" s="373"/>
      <c r="L4" s="117"/>
      <c r="M4" s="117"/>
      <c r="N4" s="116"/>
    </row>
    <row r="5" spans="1:14" ht="38.25" customHeight="1" x14ac:dyDescent="0.2">
      <c r="A5" s="9" t="s">
        <v>19</v>
      </c>
      <c r="B5" s="10" t="s">
        <v>32</v>
      </c>
      <c r="C5" s="11" t="s">
        <v>33</v>
      </c>
      <c r="D5" s="11" t="s">
        <v>34</v>
      </c>
      <c r="E5" s="11" t="s">
        <v>1</v>
      </c>
      <c r="F5" s="11" t="s">
        <v>16</v>
      </c>
      <c r="G5" s="11" t="s">
        <v>2</v>
      </c>
      <c r="H5" s="12" t="s">
        <v>3</v>
      </c>
      <c r="I5" s="363" t="s">
        <v>29</v>
      </c>
      <c r="J5" s="362" t="s">
        <v>42</v>
      </c>
      <c r="K5" s="366" t="s">
        <v>21</v>
      </c>
      <c r="L5" s="360" t="s">
        <v>68</v>
      </c>
      <c r="M5" s="359" t="s">
        <v>69</v>
      </c>
    </row>
    <row r="6" spans="1:14" ht="14.1" customHeight="1" x14ac:dyDescent="0.2">
      <c r="A6" s="13" t="s">
        <v>0</v>
      </c>
      <c r="B6" s="14">
        <v>1111</v>
      </c>
      <c r="C6" s="15">
        <v>1112</v>
      </c>
      <c r="D6" s="15">
        <v>1113</v>
      </c>
      <c r="E6" s="15">
        <v>1121</v>
      </c>
      <c r="F6" s="15">
        <v>1122</v>
      </c>
      <c r="G6" s="15">
        <v>1211</v>
      </c>
      <c r="H6" s="16">
        <v>1511</v>
      </c>
      <c r="I6" s="364"/>
      <c r="J6" s="362"/>
      <c r="K6" s="367"/>
      <c r="L6" s="361"/>
      <c r="M6" s="359"/>
    </row>
    <row r="7" spans="1:14" ht="14.1" customHeight="1" x14ac:dyDescent="0.2">
      <c r="A7" s="12" t="s">
        <v>4</v>
      </c>
      <c r="B7" s="17">
        <v>2292264.56</v>
      </c>
      <c r="C7" s="18">
        <v>114957.21</v>
      </c>
      <c r="D7" s="18">
        <v>312679.36</v>
      </c>
      <c r="E7" s="18">
        <v>716997.45</v>
      </c>
      <c r="F7" s="19"/>
      <c r="G7" s="20">
        <v>6244942.2400000002</v>
      </c>
      <c r="H7" s="21">
        <v>8923.2099999999991</v>
      </c>
      <c r="I7" s="22">
        <f t="shared" ref="I7:I18" si="0">SUM(B7:H7)</f>
        <v>9690764.0300000012</v>
      </c>
      <c r="J7" s="86">
        <f>SUM(I7)</f>
        <v>9690764.0300000012</v>
      </c>
      <c r="K7" s="171">
        <f>I7/1</f>
        <v>9690764.0300000012</v>
      </c>
      <c r="L7" s="162">
        <v>10147884.83</v>
      </c>
      <c r="M7" s="24">
        <f>L7</f>
        <v>10147884.83</v>
      </c>
    </row>
    <row r="8" spans="1:14" ht="14.1" customHeight="1" x14ac:dyDescent="0.2">
      <c r="A8" s="12" t="s">
        <v>5</v>
      </c>
      <c r="B8" s="25">
        <v>1708443.5</v>
      </c>
      <c r="C8" s="26">
        <v>55882.400000000001</v>
      </c>
      <c r="D8" s="26">
        <v>368392.48</v>
      </c>
      <c r="E8" s="26">
        <v>253009.09</v>
      </c>
      <c r="F8" s="27"/>
      <c r="G8" s="24">
        <v>7665699.6299999999</v>
      </c>
      <c r="H8" s="28">
        <v>25008.89</v>
      </c>
      <c r="I8" s="22">
        <f t="shared" si="0"/>
        <v>10076435.99</v>
      </c>
      <c r="J8" s="86">
        <f>SUM(I7:I8)</f>
        <v>19767200.020000003</v>
      </c>
      <c r="K8" s="171">
        <f>SUM(I7:I8)/2</f>
        <v>9883600.0100000016</v>
      </c>
      <c r="L8" s="162">
        <v>9361908.8800000008</v>
      </c>
      <c r="M8" s="24">
        <f>SUM(L7:L8)</f>
        <v>19509793.710000001</v>
      </c>
    </row>
    <row r="9" spans="1:14" ht="14.1" customHeight="1" x14ac:dyDescent="0.2">
      <c r="A9" s="12" t="s">
        <v>6</v>
      </c>
      <c r="B9" s="25">
        <v>1272255.23</v>
      </c>
      <c r="C9" s="26">
        <v>216641.85</v>
      </c>
      <c r="D9" s="26">
        <v>252063.32</v>
      </c>
      <c r="E9" s="26">
        <v>5076307.3499999996</v>
      </c>
      <c r="F9" s="27"/>
      <c r="G9" s="24">
        <v>3537018.85</v>
      </c>
      <c r="H9" s="109">
        <v>24100.51</v>
      </c>
      <c r="I9" s="22">
        <f t="shared" si="0"/>
        <v>10378387.109999999</v>
      </c>
      <c r="J9" s="86">
        <f>SUM(I7:I9)</f>
        <v>30145587.130000003</v>
      </c>
      <c r="K9" s="171">
        <f>SUM(I7:I9)/3</f>
        <v>10048529.043333335</v>
      </c>
      <c r="L9" s="162">
        <v>9265021.4499999993</v>
      </c>
      <c r="M9" s="24">
        <f>SUM(L7:L9)</f>
        <v>28774815.16</v>
      </c>
    </row>
    <row r="10" spans="1:14" ht="14.1" customHeight="1" x14ac:dyDescent="0.2">
      <c r="A10" s="12" t="s">
        <v>7</v>
      </c>
      <c r="B10" s="25">
        <v>1321392.95</v>
      </c>
      <c r="C10" s="26">
        <v>0</v>
      </c>
      <c r="D10" s="26">
        <v>294694.25</v>
      </c>
      <c r="E10" s="26">
        <v>1345691.58</v>
      </c>
      <c r="F10" s="27"/>
      <c r="G10" s="24">
        <v>5460752.2599999998</v>
      </c>
      <c r="H10" s="109">
        <v>13798.23</v>
      </c>
      <c r="I10" s="22">
        <f t="shared" si="0"/>
        <v>8436329.2699999996</v>
      </c>
      <c r="J10" s="86">
        <f>SUM(I7:I10)</f>
        <v>38581916.400000006</v>
      </c>
      <c r="K10" s="171">
        <f>SUM(I7:I10)/4</f>
        <v>9645479.1000000015</v>
      </c>
      <c r="L10" s="162">
        <v>6043068.96</v>
      </c>
      <c r="M10" s="104">
        <f>SUM(L7:L10)</f>
        <v>34817884.119999997</v>
      </c>
    </row>
    <row r="11" spans="1:14" ht="14.1" customHeight="1" x14ac:dyDescent="0.2">
      <c r="A11" s="12" t="s">
        <v>8</v>
      </c>
      <c r="B11" s="25">
        <v>1546144.23</v>
      </c>
      <c r="C11" s="26">
        <v>0</v>
      </c>
      <c r="D11" s="26">
        <v>333650.17</v>
      </c>
      <c r="E11" s="134">
        <v>698587.1</v>
      </c>
      <c r="F11" s="27"/>
      <c r="G11" s="24">
        <v>8388824.7799999993</v>
      </c>
      <c r="H11" s="28">
        <v>0</v>
      </c>
      <c r="I11" s="22">
        <f t="shared" si="0"/>
        <v>10967206.279999999</v>
      </c>
      <c r="J11" s="107">
        <f>SUM(I7:I11)</f>
        <v>49549122.680000007</v>
      </c>
      <c r="K11" s="171">
        <f>SUM(I7:I11)/5</f>
        <v>9909824.5360000022</v>
      </c>
      <c r="L11" s="162">
        <v>8155724.3499999996</v>
      </c>
      <c r="M11" s="108">
        <f>SUM(L7:L11)</f>
        <v>42973608.469999999</v>
      </c>
    </row>
    <row r="12" spans="1:14" ht="14.1" customHeight="1" x14ac:dyDescent="0.2">
      <c r="A12" s="12" t="s">
        <v>9</v>
      </c>
      <c r="B12" s="25">
        <v>2083053.69</v>
      </c>
      <c r="C12" s="26">
        <v>0</v>
      </c>
      <c r="D12" s="26">
        <v>365255.9</v>
      </c>
      <c r="E12" s="26">
        <v>5517924.9199999999</v>
      </c>
      <c r="F12" s="27"/>
      <c r="G12" s="24">
        <v>5488121.7800000003</v>
      </c>
      <c r="H12" s="28">
        <v>2861419.92</v>
      </c>
      <c r="I12" s="22">
        <f t="shared" si="0"/>
        <v>16315776.209999999</v>
      </c>
      <c r="J12" s="107">
        <f>SUM(I7:I12)</f>
        <v>65864898.890000008</v>
      </c>
      <c r="K12" s="171">
        <f>SUM(I7:I12)/6</f>
        <v>10977483.148333335</v>
      </c>
      <c r="L12" s="162">
        <v>15303045.210000001</v>
      </c>
      <c r="M12" s="27">
        <f>SUM(L7:L12)</f>
        <v>58276653.68</v>
      </c>
    </row>
    <row r="13" spans="1:14" ht="14.1" customHeight="1" x14ac:dyDescent="0.2">
      <c r="A13" s="12" t="s">
        <v>10</v>
      </c>
      <c r="B13" s="25">
        <v>2175024.2799999998</v>
      </c>
      <c r="C13" s="26">
        <v>689899.07</v>
      </c>
      <c r="D13" s="26">
        <v>470318.88</v>
      </c>
      <c r="E13" s="26">
        <v>8557366.6799999997</v>
      </c>
      <c r="F13" s="26">
        <v>3385040</v>
      </c>
      <c r="G13" s="29">
        <v>7158675.4400000004</v>
      </c>
      <c r="H13" s="28">
        <v>84537.1</v>
      </c>
      <c r="I13" s="22">
        <f t="shared" si="0"/>
        <v>22520861.450000003</v>
      </c>
      <c r="J13" s="107">
        <f>SUM(I7:I13)</f>
        <v>88385760.340000004</v>
      </c>
      <c r="K13" s="171">
        <f>SUM(I7:I13)/7</f>
        <v>12626537.191428572</v>
      </c>
      <c r="L13" s="162">
        <v>14795226.449999999</v>
      </c>
      <c r="M13" s="108">
        <f>SUM(L7:L13)</f>
        <v>73071880.129999995</v>
      </c>
    </row>
    <row r="14" spans="1:14" ht="14.1" customHeight="1" x14ac:dyDescent="0.2">
      <c r="A14" s="12" t="s">
        <v>11</v>
      </c>
      <c r="B14" s="25"/>
      <c r="C14" s="26"/>
      <c r="D14" s="26"/>
      <c r="E14" s="26"/>
      <c r="F14" s="27"/>
      <c r="G14" s="24"/>
      <c r="H14" s="28"/>
      <c r="I14" s="22">
        <f t="shared" si="0"/>
        <v>0</v>
      </c>
      <c r="J14" s="107">
        <f>SUM(I7:I14)</f>
        <v>88385760.340000004</v>
      </c>
      <c r="K14" s="171">
        <f>SUM(I7:I14)/8</f>
        <v>11048220.0425</v>
      </c>
      <c r="L14" s="162">
        <v>12075267.42</v>
      </c>
      <c r="M14" s="27">
        <f>SUM(L7:L14)</f>
        <v>85147147.549999997</v>
      </c>
    </row>
    <row r="15" spans="1:14" ht="14.1" customHeight="1" x14ac:dyDescent="0.2">
      <c r="A15" s="12" t="s">
        <v>12</v>
      </c>
      <c r="B15" s="25"/>
      <c r="C15" s="26"/>
      <c r="D15" s="26"/>
      <c r="E15" s="26"/>
      <c r="F15" s="27"/>
      <c r="G15" s="24"/>
      <c r="H15" s="28"/>
      <c r="I15" s="22">
        <f t="shared" si="0"/>
        <v>0</v>
      </c>
      <c r="J15" s="107">
        <f>SUM(I7:I15)</f>
        <v>88385760.340000004</v>
      </c>
      <c r="K15" s="171">
        <f>SUM(I7:I15)/9</f>
        <v>9820640.0377777778</v>
      </c>
      <c r="L15" s="162">
        <v>11451936.439999999</v>
      </c>
      <c r="M15" s="27">
        <f>SUM(L7:L15)</f>
        <v>96599083.989999995</v>
      </c>
    </row>
    <row r="16" spans="1:14" ht="14.1" customHeight="1" x14ac:dyDescent="0.2">
      <c r="A16" s="12" t="s">
        <v>13</v>
      </c>
      <c r="B16" s="25"/>
      <c r="C16" s="26"/>
      <c r="D16" s="26"/>
      <c r="E16" s="26"/>
      <c r="F16" s="27"/>
      <c r="G16" s="24"/>
      <c r="H16" s="28"/>
      <c r="I16" s="111">
        <f t="shared" si="0"/>
        <v>0</v>
      </c>
      <c r="J16" s="107">
        <f>SUM(I7:I16)</f>
        <v>88385760.340000004</v>
      </c>
      <c r="K16" s="171">
        <f>SUM(I7:I16)/10</f>
        <v>8838576.034</v>
      </c>
      <c r="L16" s="162">
        <v>8966694.5800000001</v>
      </c>
      <c r="M16" s="27">
        <f>SUM(L7:L16)</f>
        <v>105565778.56999999</v>
      </c>
    </row>
    <row r="17" spans="1:13" ht="14.1" customHeight="1" x14ac:dyDescent="0.2">
      <c r="A17" s="12" t="s">
        <v>14</v>
      </c>
      <c r="B17" s="25"/>
      <c r="C17" s="26"/>
      <c r="D17" s="26"/>
      <c r="E17" s="26"/>
      <c r="F17" s="27"/>
      <c r="G17" s="24"/>
      <c r="H17" s="28"/>
      <c r="I17" s="111">
        <f t="shared" si="0"/>
        <v>0</v>
      </c>
      <c r="J17" s="107">
        <f>SUM(I7:I17)</f>
        <v>88385760.340000004</v>
      </c>
      <c r="K17" s="171">
        <f>SUM(I7:I17)/11</f>
        <v>8035069.1218181821</v>
      </c>
      <c r="L17" s="163">
        <v>10203788.74</v>
      </c>
      <c r="M17" s="24">
        <f>SUM(L7:L17)</f>
        <v>115769567.30999999</v>
      </c>
    </row>
    <row r="18" spans="1:13" ht="14.1" customHeight="1" thickBot="1" x14ac:dyDescent="0.25">
      <c r="A18" s="12" t="s">
        <v>15</v>
      </c>
      <c r="B18" s="25"/>
      <c r="C18" s="26"/>
      <c r="D18" s="26"/>
      <c r="E18" s="26"/>
      <c r="F18" s="27"/>
      <c r="G18" s="24"/>
      <c r="H18" s="28"/>
      <c r="I18" s="110">
        <f t="shared" si="0"/>
        <v>0</v>
      </c>
      <c r="J18" s="107">
        <f>SUM(I7:I18)</f>
        <v>88385760.340000004</v>
      </c>
      <c r="K18" s="171">
        <f>SUM(I7:I18)/12</f>
        <v>7365480.0283333333</v>
      </c>
      <c r="L18" s="164">
        <v>15967489.050000001</v>
      </c>
      <c r="M18" s="30">
        <f>SUM(L7:L18)</f>
        <v>131737056.35999998</v>
      </c>
    </row>
    <row r="19" spans="1:13" ht="30" customHeight="1" thickBot="1" x14ac:dyDescent="0.25">
      <c r="A19" s="31" t="s">
        <v>28</v>
      </c>
      <c r="B19" s="32">
        <f>SUM(B7:B18)</f>
        <v>12398578.439999999</v>
      </c>
      <c r="C19" s="32">
        <f t="shared" ref="C19:H19" si="1">SUM(C7:C18)</f>
        <v>1077380.53</v>
      </c>
      <c r="D19" s="32">
        <f t="shared" si="1"/>
        <v>2397054.36</v>
      </c>
      <c r="E19" s="32">
        <f t="shared" si="1"/>
        <v>22165884.169999998</v>
      </c>
      <c r="F19" s="32">
        <f t="shared" si="1"/>
        <v>3385040</v>
      </c>
      <c r="G19" s="32">
        <f t="shared" si="1"/>
        <v>43944034.980000004</v>
      </c>
      <c r="H19" s="32">
        <f t="shared" si="1"/>
        <v>3017787.86</v>
      </c>
      <c r="I19" s="33">
        <f>SUM(I7:I18)</f>
        <v>88385760.340000004</v>
      </c>
      <c r="J19" s="83" t="s">
        <v>31</v>
      </c>
      <c r="K19" s="34"/>
      <c r="L19" s="165">
        <f>SUM(L7:L18)</f>
        <v>131737056.35999998</v>
      </c>
    </row>
    <row r="20" spans="1:13" ht="12" customHeight="1" x14ac:dyDescent="0.2">
      <c r="A20" s="35"/>
      <c r="B20" s="36"/>
      <c r="C20" s="36"/>
      <c r="D20" s="36"/>
      <c r="E20" s="36"/>
      <c r="F20" s="36"/>
      <c r="G20" s="36"/>
      <c r="H20" s="36"/>
      <c r="J20" s="37">
        <f>SUM(B19:H19)</f>
        <v>88385760.340000004</v>
      </c>
      <c r="K20" s="38"/>
      <c r="L20" s="41"/>
    </row>
    <row r="21" spans="1:13" ht="33" customHeight="1" x14ac:dyDescent="0.2">
      <c r="A21" s="73" t="s">
        <v>72</v>
      </c>
      <c r="B21" s="187">
        <v>20816000</v>
      </c>
      <c r="C21" s="187">
        <v>1154000</v>
      </c>
      <c r="D21" s="187">
        <v>3540000</v>
      </c>
      <c r="E21" s="187">
        <v>29924000</v>
      </c>
      <c r="F21" s="187"/>
      <c r="G21" s="187">
        <v>67948000</v>
      </c>
      <c r="H21" s="188">
        <v>3609000</v>
      </c>
      <c r="I21" s="189">
        <f>SUM(B21:H21)</f>
        <v>126991000</v>
      </c>
      <c r="J21" s="29"/>
      <c r="K21" s="38"/>
      <c r="L21" s="166">
        <f>L19/12</f>
        <v>10978088.029999999</v>
      </c>
    </row>
    <row r="22" spans="1:13" ht="33" hidden="1" customHeight="1" x14ac:dyDescent="0.2">
      <c r="A22" s="137" t="s">
        <v>59</v>
      </c>
      <c r="B22" s="138"/>
      <c r="C22" s="138"/>
      <c r="D22" s="138"/>
      <c r="E22" s="138"/>
      <c r="F22" s="138"/>
      <c r="G22" s="138"/>
      <c r="H22" s="139"/>
      <c r="I22" s="184"/>
      <c r="J22" s="29"/>
      <c r="K22" s="38"/>
      <c r="L22" s="82" t="s">
        <v>53</v>
      </c>
    </row>
    <row r="23" spans="1:13" ht="27" hidden="1" customHeight="1" x14ac:dyDescent="0.2">
      <c r="A23" s="137" t="s">
        <v>47</v>
      </c>
      <c r="B23" s="138"/>
      <c r="C23" s="152"/>
      <c r="D23" s="152"/>
      <c r="E23" s="152"/>
      <c r="F23" s="152"/>
      <c r="G23" s="152"/>
      <c r="H23" s="153"/>
      <c r="I23" s="154"/>
      <c r="J23" s="136"/>
      <c r="K23" s="140"/>
      <c r="L23" s="39"/>
    </row>
    <row r="24" spans="1:13" ht="33" hidden="1" customHeight="1" x14ac:dyDescent="0.2">
      <c r="A24" s="137" t="s">
        <v>65</v>
      </c>
      <c r="B24" s="138"/>
      <c r="C24" s="152"/>
      <c r="D24" s="152"/>
      <c r="E24" s="152"/>
      <c r="F24" s="152"/>
      <c r="G24" s="152"/>
      <c r="H24" s="153"/>
      <c r="I24" s="154"/>
      <c r="J24" s="136"/>
      <c r="K24" s="140"/>
      <c r="L24" s="39"/>
    </row>
    <row r="25" spans="1:13" ht="15.95" customHeight="1" x14ac:dyDescent="0.2">
      <c r="A25" s="40" t="s">
        <v>22</v>
      </c>
      <c r="B25" s="67">
        <f>B19/B21</f>
        <v>0.59562732705611066</v>
      </c>
      <c r="C25" s="67">
        <f t="shared" ref="C25:I25" si="2">C19/C21</f>
        <v>0.93360531195840557</v>
      </c>
      <c r="D25" s="67">
        <f t="shared" si="2"/>
        <v>0.67713400000000001</v>
      </c>
      <c r="E25" s="67">
        <f t="shared" si="2"/>
        <v>0.74073934534153185</v>
      </c>
      <c r="F25" s="67" t="e">
        <f t="shared" si="2"/>
        <v>#DIV/0!</v>
      </c>
      <c r="G25" s="67">
        <f t="shared" si="2"/>
        <v>0.64673036704538767</v>
      </c>
      <c r="H25" s="67">
        <f t="shared" si="2"/>
        <v>0.83618394569132715</v>
      </c>
      <c r="I25" s="67">
        <f t="shared" si="2"/>
        <v>0.69600019166712601</v>
      </c>
      <c r="J25" s="74"/>
      <c r="K25" s="38"/>
      <c r="L25" s="36"/>
    </row>
    <row r="26" spans="1:13" ht="12" customHeight="1" x14ac:dyDescent="0.2">
      <c r="A26" s="35"/>
      <c r="B26" s="36"/>
      <c r="C26" s="36"/>
      <c r="D26" s="36"/>
      <c r="E26" s="36"/>
      <c r="F26" s="114"/>
      <c r="G26" s="36"/>
      <c r="H26" s="36"/>
      <c r="I26" s="36"/>
      <c r="J26" s="29"/>
      <c r="K26" s="38"/>
      <c r="L26" s="36"/>
    </row>
    <row r="27" spans="1:13" ht="21.95" customHeight="1" x14ac:dyDescent="0.2">
      <c r="A27" s="155" t="s">
        <v>68</v>
      </c>
      <c r="B27" s="156">
        <v>21770382.109999999</v>
      </c>
      <c r="C27" s="156">
        <v>1392047.17</v>
      </c>
      <c r="D27" s="156">
        <v>3610047.17</v>
      </c>
      <c r="E27" s="156">
        <v>30459068.629999999</v>
      </c>
      <c r="F27" s="156">
        <v>2540300</v>
      </c>
      <c r="G27" s="156">
        <v>68122168.189999998</v>
      </c>
      <c r="H27" s="167">
        <v>3843000.4</v>
      </c>
      <c r="I27" s="168">
        <f>SUM(B27:H27)</f>
        <v>131737013.67</v>
      </c>
    </row>
    <row r="28" spans="1:13" ht="18" customHeight="1" x14ac:dyDescent="0.2">
      <c r="A28" s="42"/>
      <c r="B28" s="43"/>
      <c r="C28" s="43"/>
      <c r="D28" s="43"/>
      <c r="E28" s="43"/>
      <c r="F28" s="43"/>
      <c r="G28" s="43"/>
      <c r="H28" s="43"/>
      <c r="I28" s="36"/>
    </row>
    <row r="29" spans="1:13" ht="17.100000000000001" customHeight="1" x14ac:dyDescent="0.2">
      <c r="A29" s="44"/>
      <c r="B29" s="29"/>
      <c r="C29" s="43"/>
      <c r="D29" s="45"/>
      <c r="E29" s="45"/>
      <c r="F29" s="45"/>
      <c r="G29" s="46"/>
    </row>
    <row r="30" spans="1:13" ht="12" customHeight="1" x14ac:dyDescent="0.2">
      <c r="A30" s="48"/>
      <c r="B30" s="49" t="s">
        <v>26</v>
      </c>
      <c r="C30" s="50"/>
      <c r="D30" s="50"/>
      <c r="E30" s="43"/>
      <c r="F30" s="45"/>
      <c r="G30" s="46"/>
      <c r="I30" s="127" t="s">
        <v>73</v>
      </c>
    </row>
    <row r="31" spans="1:13" ht="45" customHeight="1" x14ac:dyDescent="0.2">
      <c r="B31" s="176" t="s">
        <v>24</v>
      </c>
      <c r="C31" s="71" t="s">
        <v>35</v>
      </c>
      <c r="D31" s="70" t="s">
        <v>20</v>
      </c>
      <c r="E31" s="52"/>
      <c r="F31" s="45"/>
      <c r="H31" s="115"/>
      <c r="I31" s="126"/>
      <c r="J31" s="11" t="s">
        <v>71</v>
      </c>
      <c r="K31" s="150" t="s">
        <v>70</v>
      </c>
      <c r="L31" s="150" t="s">
        <v>51</v>
      </c>
      <c r="M31" s="150" t="s">
        <v>43</v>
      </c>
    </row>
    <row r="32" spans="1:13" ht="21.95" customHeight="1" x14ac:dyDescent="0.2">
      <c r="A32" s="41" t="s">
        <v>27</v>
      </c>
      <c r="B32" s="24">
        <f>$C$45*1</f>
        <v>10582583</v>
      </c>
      <c r="C32" s="53">
        <v>9690764.0299999993</v>
      </c>
      <c r="D32" s="54">
        <f t="shared" ref="D32:D43" si="3">C32-B32</f>
        <v>-891818.97000000067</v>
      </c>
      <c r="E32" s="78" t="s">
        <v>30</v>
      </c>
      <c r="F32" s="51"/>
      <c r="I32" s="124" t="s">
        <v>0</v>
      </c>
      <c r="J32" s="15">
        <v>1211</v>
      </c>
      <c r="K32" s="122">
        <v>1211</v>
      </c>
      <c r="L32" s="122">
        <v>1211</v>
      </c>
      <c r="M32" s="122">
        <v>1211</v>
      </c>
    </row>
    <row r="33" spans="1:13" ht="15.75" customHeight="1" x14ac:dyDescent="0.2">
      <c r="A33" s="41" t="s">
        <v>5</v>
      </c>
      <c r="B33" s="24">
        <f>$C$45*2</f>
        <v>21165166</v>
      </c>
      <c r="C33" s="56">
        <v>19767200.02</v>
      </c>
      <c r="D33" s="54">
        <f t="shared" si="3"/>
        <v>-1397965.9800000004</v>
      </c>
      <c r="E33" s="78" t="s">
        <v>30</v>
      </c>
      <c r="F33" s="51"/>
      <c r="I33" s="125" t="s">
        <v>4</v>
      </c>
      <c r="J33" s="20">
        <v>6244942.2400000002</v>
      </c>
      <c r="K33" s="123">
        <v>5255762.3</v>
      </c>
      <c r="L33" s="123">
        <v>5252142.5</v>
      </c>
      <c r="M33" s="123">
        <v>5106371.01</v>
      </c>
    </row>
    <row r="34" spans="1:13" ht="15.75" customHeight="1" x14ac:dyDescent="0.2">
      <c r="A34" s="41" t="s">
        <v>6</v>
      </c>
      <c r="B34" s="24">
        <f>$C$45*3</f>
        <v>31747749</v>
      </c>
      <c r="C34" s="56">
        <v>30292326.23</v>
      </c>
      <c r="D34" s="54">
        <f t="shared" si="3"/>
        <v>-1455422.7699999996</v>
      </c>
      <c r="E34" s="78" t="s">
        <v>30</v>
      </c>
      <c r="F34" s="51"/>
      <c r="I34" s="125" t="s">
        <v>5</v>
      </c>
      <c r="J34" s="24">
        <v>7665699.6299999999</v>
      </c>
      <c r="K34" s="121">
        <v>6870715.8200000003</v>
      </c>
      <c r="L34" s="121">
        <v>6469795.5300000003</v>
      </c>
      <c r="M34" s="121">
        <v>6034716.8700000001</v>
      </c>
    </row>
    <row r="35" spans="1:13" ht="15.75" customHeight="1" x14ac:dyDescent="0.2">
      <c r="A35" s="41" t="s">
        <v>7</v>
      </c>
      <c r="B35" s="24">
        <f>$C$45*4</f>
        <v>42330332</v>
      </c>
      <c r="C35" s="56">
        <v>38581916.399999999</v>
      </c>
      <c r="D35" s="54">
        <f t="shared" si="3"/>
        <v>-3748415.6000000015</v>
      </c>
      <c r="E35" s="78" t="s">
        <v>30</v>
      </c>
      <c r="F35" s="51"/>
      <c r="I35" s="125" t="s">
        <v>6</v>
      </c>
      <c r="J35" s="24">
        <v>3537018.85</v>
      </c>
      <c r="K35" s="121">
        <v>2671503.0099999998</v>
      </c>
      <c r="L35" s="121">
        <v>3369082.48</v>
      </c>
      <c r="M35" s="121">
        <v>2779600.07</v>
      </c>
    </row>
    <row r="36" spans="1:13" ht="15.75" customHeight="1" x14ac:dyDescent="0.2">
      <c r="A36" s="57" t="s">
        <v>8</v>
      </c>
      <c r="B36" s="24">
        <f>$C$45*5</f>
        <v>52912915</v>
      </c>
      <c r="C36" s="23">
        <v>49549122.68</v>
      </c>
      <c r="D36" s="54">
        <f t="shared" si="3"/>
        <v>-3363792.3200000003</v>
      </c>
      <c r="E36" s="78" t="s">
        <v>30</v>
      </c>
      <c r="F36" s="51"/>
      <c r="I36" s="125" t="s">
        <v>7</v>
      </c>
      <c r="J36" s="24">
        <v>5460752.2599999998</v>
      </c>
      <c r="K36" s="121">
        <v>4053519.95</v>
      </c>
      <c r="L36" s="121">
        <v>3372276.48</v>
      </c>
      <c r="M36" s="121">
        <v>3684564.18</v>
      </c>
    </row>
    <row r="37" spans="1:13" ht="15.75" customHeight="1" x14ac:dyDescent="0.2">
      <c r="A37" s="41" t="s">
        <v>9</v>
      </c>
      <c r="B37" s="24">
        <f>$C$45*6</f>
        <v>63495498</v>
      </c>
      <c r="C37" s="86">
        <v>65864898.890000001</v>
      </c>
      <c r="D37" s="30">
        <f t="shared" si="3"/>
        <v>2369400.8900000006</v>
      </c>
      <c r="E37" s="78" t="s">
        <v>40</v>
      </c>
      <c r="F37" s="45"/>
      <c r="I37" s="125" t="s">
        <v>8</v>
      </c>
      <c r="J37" s="24">
        <v>8388824.7799999993</v>
      </c>
      <c r="K37" s="121">
        <v>6733585.4199999999</v>
      </c>
      <c r="L37" s="121">
        <v>4859277.78</v>
      </c>
      <c r="M37" s="121">
        <v>5998392.7199999997</v>
      </c>
    </row>
    <row r="38" spans="1:13" ht="15.75" customHeight="1" x14ac:dyDescent="0.2">
      <c r="A38" s="41" t="s">
        <v>10</v>
      </c>
      <c r="B38" s="24">
        <f>$C$45*7</f>
        <v>74078081</v>
      </c>
      <c r="C38" s="58">
        <v>88385760.340000004</v>
      </c>
      <c r="D38" s="30">
        <f t="shared" si="3"/>
        <v>14307679.340000004</v>
      </c>
      <c r="E38" s="78" t="s">
        <v>40</v>
      </c>
      <c r="F38" s="51"/>
      <c r="I38" s="125" t="s">
        <v>9</v>
      </c>
      <c r="J38" s="24">
        <v>5488121.7800000003</v>
      </c>
      <c r="K38" s="121">
        <v>4811765.8</v>
      </c>
      <c r="L38" s="121">
        <v>3191430.85</v>
      </c>
      <c r="M38" s="121">
        <v>4378618.8</v>
      </c>
    </row>
    <row r="39" spans="1:13" ht="15.75" customHeight="1" x14ac:dyDescent="0.2">
      <c r="A39" s="41" t="s">
        <v>11</v>
      </c>
      <c r="B39" s="24">
        <f>$C$45*8</f>
        <v>84660664</v>
      </c>
      <c r="C39" s="23"/>
      <c r="D39" s="54">
        <f t="shared" si="3"/>
        <v>-84660664</v>
      </c>
      <c r="E39" s="78"/>
      <c r="F39" s="51"/>
      <c r="I39" s="125" t="s">
        <v>10</v>
      </c>
      <c r="J39" s="79">
        <v>7158675.4400000004</v>
      </c>
      <c r="K39" s="190">
        <v>5796931.3499999996</v>
      </c>
      <c r="L39" s="121">
        <v>4564190.4400000004</v>
      </c>
      <c r="M39" s="121">
        <v>4790309.29</v>
      </c>
    </row>
    <row r="40" spans="1:13" ht="15.75" customHeight="1" x14ac:dyDescent="0.2">
      <c r="A40" s="41" t="s">
        <v>12</v>
      </c>
      <c r="B40" s="24">
        <f>$C$45*9</f>
        <v>95243247</v>
      </c>
      <c r="C40" s="23"/>
      <c r="D40" s="54">
        <f t="shared" si="3"/>
        <v>-95243247</v>
      </c>
      <c r="E40" s="78"/>
      <c r="F40" s="51"/>
      <c r="I40" s="125" t="s">
        <v>11</v>
      </c>
      <c r="J40" s="24"/>
      <c r="K40" s="121">
        <v>7294324.4900000002</v>
      </c>
      <c r="L40" s="121">
        <v>6249409.1500000004</v>
      </c>
      <c r="M40" s="121">
        <v>5994646.1100000003</v>
      </c>
    </row>
    <row r="41" spans="1:13" ht="15.75" customHeight="1" x14ac:dyDescent="0.2">
      <c r="A41" s="41" t="s">
        <v>13</v>
      </c>
      <c r="B41" s="24">
        <f>$C$45*10</f>
        <v>105825830</v>
      </c>
      <c r="C41" s="23"/>
      <c r="D41" s="54">
        <f t="shared" si="3"/>
        <v>-105825830</v>
      </c>
      <c r="E41" s="78"/>
      <c r="F41" s="51"/>
      <c r="I41" s="125" t="s">
        <v>12</v>
      </c>
      <c r="J41" s="24"/>
      <c r="K41" s="121">
        <v>4526669.63</v>
      </c>
      <c r="L41" s="121">
        <v>4552347.4800000004</v>
      </c>
      <c r="M41" s="121">
        <v>4031142.81</v>
      </c>
    </row>
    <row r="42" spans="1:13" ht="15.75" customHeight="1" x14ac:dyDescent="0.2">
      <c r="A42" s="41" t="s">
        <v>23</v>
      </c>
      <c r="B42" s="24">
        <f>$C$45*11</f>
        <v>116408413</v>
      </c>
      <c r="C42" s="23"/>
      <c r="D42" s="54">
        <f t="shared" si="3"/>
        <v>-116408413</v>
      </c>
      <c r="E42" s="78"/>
      <c r="F42" s="51"/>
      <c r="I42" s="125" t="s">
        <v>13</v>
      </c>
      <c r="J42" s="24"/>
      <c r="K42" s="121">
        <v>5564919.0700000003</v>
      </c>
      <c r="L42" s="121">
        <v>4626008.59</v>
      </c>
      <c r="M42" s="121">
        <v>4400002.55</v>
      </c>
    </row>
    <row r="43" spans="1:13" ht="15.75" customHeight="1" x14ac:dyDescent="0.2">
      <c r="A43" s="41" t="s">
        <v>15</v>
      </c>
      <c r="B43" s="24">
        <f>$C$45*12</f>
        <v>126990996</v>
      </c>
      <c r="C43" s="23"/>
      <c r="D43" s="54">
        <f t="shared" si="3"/>
        <v>-126990996</v>
      </c>
      <c r="E43" s="78"/>
      <c r="F43" s="51"/>
      <c r="I43" s="125" t="s">
        <v>14</v>
      </c>
      <c r="J43" s="24"/>
      <c r="K43" s="121">
        <v>7698895.7300000004</v>
      </c>
      <c r="L43" s="121">
        <v>6621002.2300000004</v>
      </c>
      <c r="M43" s="121">
        <v>6563125.0199999996</v>
      </c>
    </row>
    <row r="44" spans="1:13" ht="15.75" customHeight="1" x14ac:dyDescent="0.2">
      <c r="A44" s="365" t="s">
        <v>25</v>
      </c>
      <c r="B44" s="365"/>
      <c r="C44" s="191">
        <v>126991000</v>
      </c>
      <c r="D44" s="60"/>
      <c r="E44" s="60"/>
      <c r="F44" s="51"/>
      <c r="I44" s="125" t="s">
        <v>15</v>
      </c>
      <c r="J44" s="24"/>
      <c r="K44" s="121">
        <v>6843575.6200000001</v>
      </c>
      <c r="L44" s="121">
        <v>5248774.17</v>
      </c>
      <c r="M44" s="121">
        <v>5317639.09</v>
      </c>
    </row>
    <row r="45" spans="1:13" ht="35.25" customHeight="1" x14ac:dyDescent="0.2">
      <c r="A45" s="370" t="s">
        <v>37</v>
      </c>
      <c r="B45" s="370"/>
      <c r="C45" s="192">
        <v>10582583</v>
      </c>
      <c r="D45" s="60"/>
      <c r="E45" s="60"/>
      <c r="F45" s="51"/>
      <c r="I45" s="91" t="s">
        <v>44</v>
      </c>
      <c r="J45" s="32">
        <f t="shared" ref="J45:K45" si="4">SUM(J33:J44)</f>
        <v>43944034.980000004</v>
      </c>
      <c r="K45" s="120">
        <f t="shared" si="4"/>
        <v>68122168.190000013</v>
      </c>
      <c r="L45" s="120">
        <f>SUM(L33:L44)</f>
        <v>58375737.680000022</v>
      </c>
      <c r="M45" s="120">
        <f>SUM(M33:M44)</f>
        <v>59079128.519999996</v>
      </c>
    </row>
    <row r="46" spans="1:13" ht="35.25" hidden="1" customHeight="1" x14ac:dyDescent="0.2">
      <c r="A46" s="370" t="s">
        <v>67</v>
      </c>
      <c r="B46" s="370"/>
      <c r="C46" s="179">
        <f>I22/12</f>
        <v>0</v>
      </c>
      <c r="D46" s="145"/>
      <c r="E46" s="60"/>
      <c r="F46" s="51"/>
      <c r="I46" s="146"/>
      <c r="J46" s="147"/>
      <c r="K46" s="147"/>
      <c r="L46" s="147"/>
    </row>
    <row r="47" spans="1:13" ht="24" customHeight="1" x14ac:dyDescent="0.2">
      <c r="A47" s="77" t="s">
        <v>36</v>
      </c>
      <c r="B47" s="193"/>
      <c r="C47" s="87"/>
      <c r="D47" s="145"/>
      <c r="E47" s="60"/>
      <c r="F47" s="51"/>
      <c r="I47" s="146"/>
      <c r="J47" s="147"/>
      <c r="K47" s="147"/>
      <c r="L47" s="147"/>
    </row>
    <row r="48" spans="1:13" ht="15.75" customHeight="1" x14ac:dyDescent="0.2">
      <c r="B48" s="29"/>
      <c r="C48" s="59"/>
      <c r="E48" s="43"/>
      <c r="F48" s="51"/>
    </row>
    <row r="49" spans="1:11" x14ac:dyDescent="0.2">
      <c r="A49" s="42"/>
      <c r="B49" s="43"/>
      <c r="C49" s="43"/>
      <c r="D49" s="43"/>
      <c r="E49" s="43"/>
      <c r="F49" s="43"/>
      <c r="G49" s="43"/>
      <c r="H49" s="43"/>
      <c r="I49" s="36"/>
      <c r="K49" s="36"/>
    </row>
    <row r="50" spans="1:11" ht="15.75" x14ac:dyDescent="0.2">
      <c r="A50" s="5" t="s">
        <v>74</v>
      </c>
      <c r="B50" s="29"/>
      <c r="D50" s="62"/>
      <c r="E50" s="61"/>
      <c r="F50" s="61"/>
      <c r="G50" s="61"/>
      <c r="H50" s="61"/>
      <c r="I50" s="61"/>
      <c r="J50" s="61"/>
      <c r="K50" s="61"/>
    </row>
    <row r="51" spans="1:11" ht="15.75" x14ac:dyDescent="0.2">
      <c r="A51" s="5"/>
      <c r="B51" s="29"/>
      <c r="D51" s="62"/>
      <c r="E51" s="61"/>
      <c r="F51" s="61"/>
      <c r="G51" s="61"/>
      <c r="H51" s="61"/>
      <c r="I51" s="61"/>
      <c r="J51" s="61"/>
      <c r="K51" s="61"/>
    </row>
    <row r="52" spans="1:11" ht="15.75" customHeight="1" x14ac:dyDescent="0.2">
      <c r="A52" s="5"/>
      <c r="B52" s="29"/>
      <c r="C52" s="93"/>
      <c r="E52" s="61"/>
      <c r="F52" s="61"/>
      <c r="G52" s="118"/>
      <c r="H52" s="61"/>
      <c r="I52" s="118"/>
      <c r="J52" s="61"/>
      <c r="K52" s="61"/>
    </row>
    <row r="53" spans="1:11" s="85" customFormat="1" x14ac:dyDescent="0.2">
      <c r="A53" s="85" t="s">
        <v>17</v>
      </c>
      <c r="B53" s="374" t="s">
        <v>76</v>
      </c>
      <c r="C53" s="374"/>
      <c r="D53" s="374"/>
      <c r="E53" s="374"/>
      <c r="F53" s="374"/>
      <c r="G53" s="119"/>
      <c r="H53" s="117"/>
      <c r="I53" s="116"/>
      <c r="J53" s="116"/>
    </row>
    <row r="54" spans="1:11" ht="38.25" customHeight="1" x14ac:dyDescent="0.2">
      <c r="A54" s="9" t="s">
        <v>18</v>
      </c>
      <c r="B54" s="63" t="s">
        <v>41</v>
      </c>
      <c r="C54" s="12" t="s">
        <v>38</v>
      </c>
      <c r="D54" s="375" t="s">
        <v>39</v>
      </c>
      <c r="E54" s="368" t="s">
        <v>42</v>
      </c>
      <c r="F54" s="366" t="s">
        <v>21</v>
      </c>
      <c r="G54" s="379" t="s">
        <v>68</v>
      </c>
      <c r="H54" s="377" t="s">
        <v>69</v>
      </c>
    </row>
    <row r="55" spans="1:11" ht="15" customHeight="1" x14ac:dyDescent="0.2">
      <c r="A55" s="13" t="s">
        <v>0</v>
      </c>
      <c r="B55" s="88">
        <v>1381</v>
      </c>
      <c r="C55" s="170">
        <v>1385</v>
      </c>
      <c r="D55" s="376"/>
      <c r="E55" s="369"/>
      <c r="F55" s="367"/>
      <c r="G55" s="380"/>
      <c r="H55" s="378"/>
    </row>
    <row r="56" spans="1:11" ht="14.1" customHeight="1" x14ac:dyDescent="0.2">
      <c r="A56" s="63" t="s">
        <v>4</v>
      </c>
      <c r="B56" s="169">
        <v>2716.08</v>
      </c>
      <c r="C56" s="99">
        <v>0</v>
      </c>
      <c r="D56" s="96">
        <f>SUM(B56:C56)</f>
        <v>2716.08</v>
      </c>
      <c r="E56" s="103">
        <f>D56</f>
        <v>2716.08</v>
      </c>
      <c r="F56" s="180">
        <f>E56/1</f>
        <v>2716.08</v>
      </c>
      <c r="G56" s="157">
        <v>60352.26</v>
      </c>
      <c r="H56" s="20">
        <f>SUM(G56)</f>
        <v>60352.26</v>
      </c>
    </row>
    <row r="57" spans="1:11" ht="14.1" customHeight="1" x14ac:dyDescent="0.2">
      <c r="A57" s="63" t="s">
        <v>5</v>
      </c>
      <c r="B57" s="89">
        <v>301619.96999999997</v>
      </c>
      <c r="C57" s="102">
        <v>0</v>
      </c>
      <c r="D57" s="97">
        <f t="shared" ref="D57:D68" si="5">SUM(B57:C57)</f>
        <v>301619.96999999997</v>
      </c>
      <c r="E57" s="103">
        <f>SUM($D$56:D57)</f>
        <v>304336.05</v>
      </c>
      <c r="F57" s="173">
        <f>E57/2</f>
        <v>152168.02499999999</v>
      </c>
      <c r="G57" s="158">
        <v>213744.58</v>
      </c>
      <c r="H57" s="104">
        <f>SUM(G56:G57)</f>
        <v>274096.83999999997</v>
      </c>
    </row>
    <row r="58" spans="1:11" ht="14.1" customHeight="1" x14ac:dyDescent="0.2">
      <c r="A58" s="63" t="s">
        <v>6</v>
      </c>
      <c r="B58" s="89">
        <v>1294.0899999999999</v>
      </c>
      <c r="C58" s="99">
        <v>0</v>
      </c>
      <c r="D58" s="97">
        <f t="shared" si="5"/>
        <v>1294.0899999999999</v>
      </c>
      <c r="E58" s="103">
        <f>SUM($D$56:D58)</f>
        <v>305630.14</v>
      </c>
      <c r="F58" s="173">
        <f>E58/3</f>
        <v>101876.71333333333</v>
      </c>
      <c r="G58" s="159">
        <v>1190.9100000000001</v>
      </c>
      <c r="H58" s="24">
        <f>SUM(G56:G58)</f>
        <v>275287.74999999994</v>
      </c>
    </row>
    <row r="59" spans="1:11" ht="14.1" customHeight="1" x14ac:dyDescent="0.2">
      <c r="A59" s="63" t="s">
        <v>7</v>
      </c>
      <c r="B59" s="89">
        <v>1087.93</v>
      </c>
      <c r="C59" s="99">
        <v>0</v>
      </c>
      <c r="D59" s="96">
        <f t="shared" si="5"/>
        <v>1087.93</v>
      </c>
      <c r="E59" s="103">
        <f>SUM($D$56:D59)</f>
        <v>306718.07</v>
      </c>
      <c r="F59" s="173">
        <f>E59/4</f>
        <v>76679.517500000002</v>
      </c>
      <c r="G59" s="159">
        <v>0</v>
      </c>
      <c r="H59" s="104">
        <f>SUM(G56:G59)</f>
        <v>275287.74999999994</v>
      </c>
    </row>
    <row r="60" spans="1:11" ht="14.1" customHeight="1" x14ac:dyDescent="0.2">
      <c r="A60" s="63" t="s">
        <v>8</v>
      </c>
      <c r="B60" s="89">
        <v>278875.81</v>
      </c>
      <c r="C60" s="99">
        <v>0</v>
      </c>
      <c r="D60" s="96">
        <f t="shared" si="5"/>
        <v>278875.81</v>
      </c>
      <c r="E60" s="358">
        <f>SUM($D$56:D60)</f>
        <v>585593.88</v>
      </c>
      <c r="F60" s="357">
        <f>E60/5</f>
        <v>117118.776</v>
      </c>
      <c r="G60" s="159">
        <v>174587.99</v>
      </c>
      <c r="H60" s="104">
        <f>SUM(G56:G60)</f>
        <v>449875.73999999993</v>
      </c>
    </row>
    <row r="61" spans="1:11" ht="14.1" customHeight="1" x14ac:dyDescent="0.2">
      <c r="A61" s="63" t="s">
        <v>9</v>
      </c>
      <c r="B61" s="148">
        <v>0</v>
      </c>
      <c r="C61" s="102">
        <v>0</v>
      </c>
      <c r="D61" s="97">
        <f t="shared" si="5"/>
        <v>0</v>
      </c>
      <c r="E61" s="103">
        <f>SUM($D$56:D61)</f>
        <v>585593.88</v>
      </c>
      <c r="F61" s="173">
        <f>E61/6</f>
        <v>97598.98</v>
      </c>
      <c r="G61" s="159">
        <v>0</v>
      </c>
      <c r="H61" s="112">
        <f>SUM(G56:G61)</f>
        <v>449875.73999999993</v>
      </c>
    </row>
    <row r="62" spans="1:11" ht="14.1" customHeight="1" x14ac:dyDescent="0.2">
      <c r="A62" s="63" t="s">
        <v>10</v>
      </c>
      <c r="B62" s="89">
        <v>770.62</v>
      </c>
      <c r="C62" s="99">
        <v>0</v>
      </c>
      <c r="D62" s="96">
        <f t="shared" si="5"/>
        <v>770.62</v>
      </c>
      <c r="E62" s="103">
        <f>SUM($D$56:D62)</f>
        <v>586364.5</v>
      </c>
      <c r="F62" s="173">
        <f>E62/7</f>
        <v>83766.357142857145</v>
      </c>
      <c r="G62" s="159">
        <v>1106.7</v>
      </c>
      <c r="H62" s="112">
        <f>SUM(G56:G62)</f>
        <v>450982.43999999994</v>
      </c>
    </row>
    <row r="63" spans="1:11" ht="14.1" customHeight="1" x14ac:dyDescent="0.2">
      <c r="A63" s="63" t="s">
        <v>11</v>
      </c>
      <c r="B63" s="89"/>
      <c r="C63" s="99"/>
      <c r="D63" s="96">
        <f t="shared" si="5"/>
        <v>0</v>
      </c>
      <c r="E63" s="103">
        <f>SUM($D$56:D63)</f>
        <v>586364.5</v>
      </c>
      <c r="F63" s="173">
        <f>E63/8</f>
        <v>73295.5625</v>
      </c>
      <c r="G63" s="158">
        <v>256309</v>
      </c>
      <c r="H63" s="186">
        <f>SUM(G56:G63)</f>
        <v>707291.44</v>
      </c>
    </row>
    <row r="64" spans="1:11" ht="14.1" customHeight="1" x14ac:dyDescent="0.2">
      <c r="A64" s="63" t="s">
        <v>12</v>
      </c>
      <c r="B64" s="89"/>
      <c r="C64" s="99"/>
      <c r="D64" s="96">
        <f t="shared" si="5"/>
        <v>0</v>
      </c>
      <c r="E64" s="103">
        <f>SUM($D$56:D64)</f>
        <v>586364.5</v>
      </c>
      <c r="F64" s="173">
        <f>E64/9</f>
        <v>65151.611111111109</v>
      </c>
      <c r="G64" s="159">
        <v>0</v>
      </c>
      <c r="H64" s="112">
        <f>SUM(G56:G64)</f>
        <v>707291.44</v>
      </c>
    </row>
    <row r="65" spans="1:12" ht="14.1" customHeight="1" x14ac:dyDescent="0.2">
      <c r="A65" s="63" t="s">
        <v>13</v>
      </c>
      <c r="B65" s="89"/>
      <c r="C65" s="99"/>
      <c r="D65" s="96">
        <f t="shared" si="5"/>
        <v>0</v>
      </c>
      <c r="E65" s="103">
        <f>SUM($D$56:D65)</f>
        <v>586364.5</v>
      </c>
      <c r="F65" s="173">
        <f>E65/10</f>
        <v>58636.45</v>
      </c>
      <c r="G65" s="159">
        <v>0</v>
      </c>
      <c r="H65" s="112">
        <f>SUM(G56:G65)</f>
        <v>707291.44</v>
      </c>
    </row>
    <row r="66" spans="1:12" ht="14.1" customHeight="1" x14ac:dyDescent="0.2">
      <c r="A66" s="63" t="s">
        <v>14</v>
      </c>
      <c r="B66" s="89"/>
      <c r="C66" s="99"/>
      <c r="D66" s="97">
        <f t="shared" si="5"/>
        <v>0</v>
      </c>
      <c r="E66" s="151">
        <f>SUM($D$56:D66)</f>
        <v>586364.5</v>
      </c>
      <c r="F66" s="173">
        <f>E66/11</f>
        <v>53305.86363636364</v>
      </c>
      <c r="G66" s="158">
        <v>242781.19</v>
      </c>
      <c r="H66" s="104">
        <f>SUM(G56:G66)</f>
        <v>950072.62999999989</v>
      </c>
    </row>
    <row r="67" spans="1:12" ht="14.1" customHeight="1" x14ac:dyDescent="0.2">
      <c r="A67" s="63" t="s">
        <v>15</v>
      </c>
      <c r="B67" s="92"/>
      <c r="C67" s="100"/>
      <c r="D67" s="113">
        <f t="shared" si="5"/>
        <v>0</v>
      </c>
      <c r="E67" s="151">
        <f>SUM($D$56:D67)</f>
        <v>586364.5</v>
      </c>
      <c r="F67" s="174">
        <f>E67/12</f>
        <v>48863.708333333336</v>
      </c>
      <c r="G67" s="159">
        <v>1682.5</v>
      </c>
      <c r="H67" s="30">
        <f>SUM(G56:G67)</f>
        <v>951755.12999999989</v>
      </c>
    </row>
    <row r="68" spans="1:12" ht="45" customHeight="1" x14ac:dyDescent="0.2">
      <c r="A68" s="91" t="s">
        <v>28</v>
      </c>
      <c r="B68" s="32">
        <f>SUM(B56:B67)</f>
        <v>586364.5</v>
      </c>
      <c r="C68" s="101">
        <f>SUM(C56:C67)</f>
        <v>0</v>
      </c>
      <c r="D68" s="98">
        <f t="shared" si="5"/>
        <v>586364.5</v>
      </c>
      <c r="E68" s="95"/>
      <c r="F68" s="94"/>
      <c r="G68" s="160">
        <f>SUM(G56:G67)</f>
        <v>951755.12999999989</v>
      </c>
    </row>
    <row r="69" spans="1:12" ht="12.95" customHeight="1" x14ac:dyDescent="0.2">
      <c r="A69" s="76"/>
      <c r="B69" s="75"/>
      <c r="F69" s="64"/>
      <c r="G69" s="30"/>
    </row>
    <row r="70" spans="1:12" ht="33" customHeight="1" x14ac:dyDescent="0.2">
      <c r="A70" s="73" t="s">
        <v>57</v>
      </c>
      <c r="B70" s="194">
        <v>500000</v>
      </c>
      <c r="C70" s="194">
        <v>0</v>
      </c>
      <c r="D70" s="172">
        <f>SUM(B70:C70)</f>
        <v>500000</v>
      </c>
      <c r="F70" s="35"/>
      <c r="G70" s="161">
        <f>G68/12</f>
        <v>79312.927499999991</v>
      </c>
    </row>
    <row r="71" spans="1:12" ht="33" hidden="1" customHeight="1" x14ac:dyDescent="0.2">
      <c r="A71" s="141" t="s">
        <v>59</v>
      </c>
      <c r="B71" s="181"/>
      <c r="C71" s="182"/>
      <c r="D71" s="142"/>
      <c r="F71" s="35"/>
      <c r="G71" s="82" t="s">
        <v>77</v>
      </c>
    </row>
    <row r="72" spans="1:12" ht="33" hidden="1" customHeight="1" x14ac:dyDescent="0.2">
      <c r="A72" s="141" t="s">
        <v>61</v>
      </c>
      <c r="B72" s="181"/>
      <c r="C72" s="182"/>
      <c r="D72" s="142">
        <f>SUM(B72:C72)</f>
        <v>0</v>
      </c>
      <c r="F72" s="35"/>
      <c r="G72" s="82"/>
    </row>
    <row r="73" spans="1:12" ht="33" hidden="1" customHeight="1" x14ac:dyDescent="0.2">
      <c r="A73" s="137" t="s">
        <v>65</v>
      </c>
      <c r="B73" s="177"/>
      <c r="C73" s="178"/>
      <c r="D73" s="142">
        <f>SUM(B73:C73)</f>
        <v>0</v>
      </c>
      <c r="F73" s="35"/>
      <c r="G73" s="82"/>
    </row>
    <row r="74" spans="1:12" s="68" customFormat="1" ht="24" customHeight="1" x14ac:dyDescent="0.2">
      <c r="A74" s="65" t="s">
        <v>22</v>
      </c>
      <c r="B74" s="67">
        <f>B68/B70</f>
        <v>1.1727289999999999</v>
      </c>
      <c r="C74" s="67" t="e">
        <f>C68/C70</f>
        <v>#DIV/0!</v>
      </c>
      <c r="D74" s="185" t="e">
        <f>D68/D73</f>
        <v>#DIV/0!</v>
      </c>
      <c r="E74" s="66"/>
      <c r="F74" s="7"/>
      <c r="H74" s="81"/>
      <c r="K74" s="7"/>
      <c r="L74" s="7"/>
    </row>
    <row r="75" spans="1:12" ht="15.75" customHeight="1" x14ac:dyDescent="0.2">
      <c r="C75" s="69"/>
      <c r="E75" s="84"/>
      <c r="F75" s="81"/>
    </row>
    <row r="76" spans="1:12" ht="24" customHeight="1" x14ac:dyDescent="0.2">
      <c r="A76" s="155" t="s">
        <v>68</v>
      </c>
      <c r="B76" s="156">
        <v>951704.26</v>
      </c>
      <c r="C76" s="167">
        <v>50.87</v>
      </c>
      <c r="D76" s="175">
        <f>SUM(B76:C76)</f>
        <v>951755.13</v>
      </c>
      <c r="E76" s="84"/>
      <c r="F76" s="81"/>
    </row>
    <row r="77" spans="1:12" ht="24" customHeight="1" x14ac:dyDescent="0.2">
      <c r="C77" s="69"/>
      <c r="E77" s="84"/>
      <c r="F77" s="81"/>
    </row>
    <row r="78" spans="1:12" ht="19.5" customHeight="1" x14ac:dyDescent="0.2">
      <c r="A78" s="90" t="s">
        <v>26</v>
      </c>
      <c r="B78" s="50"/>
      <c r="C78" s="50"/>
      <c r="D78" s="43"/>
      <c r="E78" s="85"/>
      <c r="G78" s="47"/>
    </row>
    <row r="79" spans="1:12" ht="16.5" customHeight="1" x14ac:dyDescent="0.2">
      <c r="B79" s="70" t="s">
        <v>24</v>
      </c>
      <c r="C79" s="71" t="s">
        <v>35</v>
      </c>
      <c r="D79" s="70" t="s">
        <v>20</v>
      </c>
      <c r="E79" s="52"/>
    </row>
    <row r="80" spans="1:12" ht="17.100000000000001" customHeight="1" x14ac:dyDescent="0.2">
      <c r="A80" s="41" t="s">
        <v>4</v>
      </c>
      <c r="B80" s="79">
        <f>C93*1</f>
        <v>41667</v>
      </c>
      <c r="C80" s="53">
        <v>2716.08</v>
      </c>
      <c r="D80" s="54">
        <f t="shared" ref="D80:D91" si="6">C80-B80</f>
        <v>-38950.92</v>
      </c>
      <c r="E80" s="78" t="s">
        <v>30</v>
      </c>
    </row>
    <row r="81" spans="1:6" ht="17.100000000000001" customHeight="1" x14ac:dyDescent="0.2">
      <c r="A81" s="41" t="s">
        <v>5</v>
      </c>
      <c r="B81" s="80">
        <f>$C$93*2</f>
        <v>83334</v>
      </c>
      <c r="C81" s="105">
        <v>304336.05</v>
      </c>
      <c r="D81" s="30">
        <f t="shared" si="6"/>
        <v>221002.05</v>
      </c>
      <c r="E81" s="78" t="s">
        <v>78</v>
      </c>
    </row>
    <row r="82" spans="1:6" ht="15.95" customHeight="1" x14ac:dyDescent="0.2">
      <c r="A82" s="41" t="s">
        <v>6</v>
      </c>
      <c r="B82" s="80">
        <f>$C$93*3</f>
        <v>125001</v>
      </c>
      <c r="C82" s="105">
        <v>305630.14</v>
      </c>
      <c r="D82" s="30">
        <f t="shared" si="6"/>
        <v>180629.14</v>
      </c>
      <c r="E82" s="78" t="s">
        <v>78</v>
      </c>
      <c r="F82" s="45"/>
    </row>
    <row r="83" spans="1:6" ht="18" customHeight="1" x14ac:dyDescent="0.2">
      <c r="A83" s="41" t="s">
        <v>7</v>
      </c>
      <c r="B83" s="80">
        <f>$C$93*4</f>
        <v>166668</v>
      </c>
      <c r="C83" s="56">
        <v>306718.07</v>
      </c>
      <c r="D83" s="30">
        <f t="shared" si="6"/>
        <v>140050.07</v>
      </c>
      <c r="E83" s="78" t="s">
        <v>78</v>
      </c>
      <c r="F83" s="143"/>
    </row>
    <row r="84" spans="1:6" ht="15.75" customHeight="1" x14ac:dyDescent="0.2">
      <c r="A84" s="41" t="s">
        <v>8</v>
      </c>
      <c r="B84" s="80">
        <f>$C$93*5</f>
        <v>208335</v>
      </c>
      <c r="C84" s="23">
        <v>585593.88</v>
      </c>
      <c r="D84" s="30">
        <f t="shared" si="6"/>
        <v>377258.88</v>
      </c>
      <c r="E84" s="78" t="s">
        <v>78</v>
      </c>
      <c r="F84" s="51"/>
    </row>
    <row r="85" spans="1:6" ht="15.75" customHeight="1" x14ac:dyDescent="0.2">
      <c r="A85" s="41" t="s">
        <v>9</v>
      </c>
      <c r="B85" s="80">
        <f>$C$93*6</f>
        <v>250002</v>
      </c>
      <c r="C85" s="23">
        <v>585593.88</v>
      </c>
      <c r="D85" s="30">
        <f t="shared" si="6"/>
        <v>335591.88</v>
      </c>
      <c r="E85" s="78" t="s">
        <v>40</v>
      </c>
      <c r="F85" s="51"/>
    </row>
    <row r="86" spans="1:6" ht="15.75" customHeight="1" x14ac:dyDescent="0.2">
      <c r="A86" s="41" t="s">
        <v>10</v>
      </c>
      <c r="B86" s="80">
        <f>$C$93*7</f>
        <v>291669</v>
      </c>
      <c r="C86" s="23">
        <v>586364.5</v>
      </c>
      <c r="D86" s="30">
        <f t="shared" si="6"/>
        <v>294695.5</v>
      </c>
      <c r="E86" s="78" t="s">
        <v>40</v>
      </c>
      <c r="F86" s="51"/>
    </row>
    <row r="87" spans="1:6" ht="15.75" customHeight="1" x14ac:dyDescent="0.2">
      <c r="A87" s="41" t="s">
        <v>11</v>
      </c>
      <c r="B87" s="80">
        <f>$C$93*8</f>
        <v>333336</v>
      </c>
      <c r="C87" s="55"/>
      <c r="D87" s="30">
        <f t="shared" si="6"/>
        <v>-333336</v>
      </c>
      <c r="E87" s="78"/>
      <c r="F87" s="51"/>
    </row>
    <row r="88" spans="1:6" ht="15.75" customHeight="1" x14ac:dyDescent="0.2">
      <c r="A88" s="41" t="s">
        <v>12</v>
      </c>
      <c r="B88" s="80">
        <f>$C$93*9</f>
        <v>375003</v>
      </c>
      <c r="C88" s="23"/>
      <c r="D88" s="30">
        <f t="shared" si="6"/>
        <v>-375003</v>
      </c>
      <c r="E88" s="78"/>
      <c r="F88" s="45"/>
    </row>
    <row r="89" spans="1:6" ht="15.75" customHeight="1" x14ac:dyDescent="0.2">
      <c r="A89" s="41" t="s">
        <v>13</v>
      </c>
      <c r="B89" s="80">
        <f>$C$93*10</f>
        <v>416670</v>
      </c>
      <c r="C89" s="23"/>
      <c r="D89" s="30">
        <f t="shared" si="6"/>
        <v>-416670</v>
      </c>
      <c r="E89" s="78"/>
      <c r="F89" s="51"/>
    </row>
    <row r="90" spans="1:6" ht="15.75" customHeight="1" x14ac:dyDescent="0.2">
      <c r="A90" s="41" t="s">
        <v>23</v>
      </c>
      <c r="B90" s="80">
        <f>$C$93*11</f>
        <v>458337</v>
      </c>
      <c r="C90" s="23"/>
      <c r="D90" s="30">
        <f t="shared" si="6"/>
        <v>-458337</v>
      </c>
      <c r="E90" s="78"/>
      <c r="F90" s="51"/>
    </row>
    <row r="91" spans="1:6" ht="15.75" customHeight="1" x14ac:dyDescent="0.2">
      <c r="A91" s="41" t="s">
        <v>15</v>
      </c>
      <c r="B91" s="80">
        <f>$C$93*12</f>
        <v>500004</v>
      </c>
      <c r="C91" s="23"/>
      <c r="D91" s="30">
        <f t="shared" si="6"/>
        <v>-500004</v>
      </c>
      <c r="E91" s="78"/>
      <c r="F91" s="51"/>
    </row>
    <row r="92" spans="1:6" ht="15.75" customHeight="1" x14ac:dyDescent="0.2">
      <c r="B92" s="195" t="s">
        <v>25</v>
      </c>
      <c r="C92" s="192">
        <v>500000</v>
      </c>
      <c r="D92" s="60"/>
      <c r="E92" s="60"/>
      <c r="F92" s="51"/>
    </row>
    <row r="93" spans="1:6" ht="44.25" customHeight="1" x14ac:dyDescent="0.2">
      <c r="B93" s="144" t="s">
        <v>37</v>
      </c>
      <c r="C93" s="192">
        <v>41667</v>
      </c>
      <c r="E93" s="60"/>
      <c r="F93" s="51"/>
    </row>
    <row r="94" spans="1:6" ht="44.25" hidden="1" customHeight="1" x14ac:dyDescent="0.2">
      <c r="A94" s="370" t="s">
        <v>60</v>
      </c>
      <c r="B94" s="370"/>
      <c r="C94" s="183">
        <f>D71/12</f>
        <v>0</v>
      </c>
      <c r="D94" s="145"/>
      <c r="E94" s="60"/>
      <c r="F94" s="51"/>
    </row>
    <row r="95" spans="1:6" ht="44.25" hidden="1" customHeight="1" x14ac:dyDescent="0.2">
      <c r="A95" s="370" t="s">
        <v>63</v>
      </c>
      <c r="B95" s="370"/>
      <c r="C95" s="179">
        <f>D72/12</f>
        <v>0</v>
      </c>
      <c r="D95" s="145"/>
      <c r="E95" s="60"/>
      <c r="F95" s="51"/>
    </row>
    <row r="96" spans="1:6" ht="15.75" customHeight="1" x14ac:dyDescent="0.2">
      <c r="A96" s="77" t="s">
        <v>36</v>
      </c>
      <c r="B96" s="59"/>
      <c r="C96" s="59"/>
      <c r="D96" s="43"/>
      <c r="F96" s="51"/>
    </row>
    <row r="97" spans="1:6" ht="15.75" customHeight="1" x14ac:dyDescent="0.2">
      <c r="F97" s="51"/>
    </row>
    <row r="98" spans="1:6" x14ac:dyDescent="0.2">
      <c r="A98" s="72"/>
      <c r="B98" s="29"/>
      <c r="C98" s="43"/>
    </row>
    <row r="99" spans="1:6" x14ac:dyDescent="0.2">
      <c r="A99" s="72"/>
      <c r="B99" s="29"/>
      <c r="C99" s="43"/>
    </row>
  </sheetData>
  <mergeCells count="17">
    <mergeCell ref="F54:F55"/>
    <mergeCell ref="E54:E55"/>
    <mergeCell ref="A95:B95"/>
    <mergeCell ref="A94:B94"/>
    <mergeCell ref="B4:K4"/>
    <mergeCell ref="K5:K6"/>
    <mergeCell ref="A45:B45"/>
    <mergeCell ref="B53:F53"/>
    <mergeCell ref="D54:D55"/>
    <mergeCell ref="A46:B46"/>
    <mergeCell ref="H54:H55"/>
    <mergeCell ref="G54:G55"/>
    <mergeCell ref="M5:M6"/>
    <mergeCell ref="L5:L6"/>
    <mergeCell ref="J5:J6"/>
    <mergeCell ref="I5:I6"/>
    <mergeCell ref="A44:B44"/>
  </mergeCells>
  <phoneticPr fontId="2" type="noConversion"/>
  <pageMargins left="0.7" right="0.7" top="0.75" bottom="0.75" header="0.3" footer="0.3"/>
  <pageSetup paperSize="9" scale="64" fitToWidth="0" fitToHeight="2" orientation="landscape" r:id="rId1"/>
  <headerFooter alignWithMargins="0">
    <oddFooter>&amp;LPetra Friedlová&amp;Cstránka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AC81-318D-4DAD-89DC-8B5DE7A70500}">
  <sheetPr>
    <tabColor rgb="FF92D050"/>
  </sheetPr>
  <dimension ref="A1:M101"/>
  <sheetViews>
    <sheetView zoomScaleNormal="100" zoomScalePageLayoutView="90" workbookViewId="0">
      <selection activeCell="E13" sqref="E13"/>
    </sheetView>
  </sheetViews>
  <sheetFormatPr defaultRowHeight="12.75" x14ac:dyDescent="0.2"/>
  <cols>
    <col min="1" max="1" width="15.28515625" style="198" customWidth="1"/>
    <col min="2" max="2" width="16" style="198" customWidth="1"/>
    <col min="3" max="3" width="13.7109375" style="198" customWidth="1"/>
    <col min="4" max="4" width="14.140625" style="198" customWidth="1"/>
    <col min="5" max="5" width="15" style="198" customWidth="1"/>
    <col min="6" max="6" width="16.140625" style="198" customWidth="1"/>
    <col min="7" max="7" width="16.7109375" style="198" customWidth="1"/>
    <col min="8" max="8" width="14.140625" style="198" customWidth="1"/>
    <col min="9" max="9" width="17" style="198" customWidth="1"/>
    <col min="10" max="10" width="14.5703125" style="198" customWidth="1"/>
    <col min="11" max="11" width="14.140625" style="198" customWidth="1"/>
    <col min="12" max="12" width="15.28515625" style="198" customWidth="1"/>
    <col min="13" max="13" width="14.85546875" style="198" customWidth="1"/>
    <col min="14" max="16384" width="9.140625" style="198"/>
  </cols>
  <sheetData>
    <row r="1" spans="1:13" ht="15.75" x14ac:dyDescent="0.2">
      <c r="A1" s="196" t="s">
        <v>49</v>
      </c>
      <c r="B1" s="197"/>
      <c r="C1" s="197"/>
      <c r="D1" s="197"/>
      <c r="E1" s="197"/>
      <c r="F1" s="197"/>
      <c r="G1" s="197"/>
    </row>
    <row r="2" spans="1:13" x14ac:dyDescent="0.2">
      <c r="A2" s="199"/>
    </row>
    <row r="3" spans="1:13" x14ac:dyDescent="0.2">
      <c r="B3" s="197"/>
      <c r="C3" s="197"/>
      <c r="D3" s="197"/>
      <c r="E3" s="200"/>
      <c r="F3" s="197"/>
      <c r="G3" s="197"/>
      <c r="H3" s="200"/>
    </row>
    <row r="4" spans="1:13" x14ac:dyDescent="0.2">
      <c r="A4" s="198" t="s">
        <v>17</v>
      </c>
      <c r="B4" s="395">
        <v>2021</v>
      </c>
      <c r="C4" s="396"/>
      <c r="D4" s="396"/>
      <c r="E4" s="396"/>
      <c r="F4" s="396"/>
      <c r="G4" s="396"/>
      <c r="H4" s="396"/>
      <c r="I4" s="396"/>
      <c r="J4" s="396"/>
      <c r="K4" s="397"/>
      <c r="L4" s="201"/>
      <c r="M4" s="201"/>
    </row>
    <row r="5" spans="1:13" ht="38.25" x14ac:dyDescent="0.2">
      <c r="A5" s="202" t="s">
        <v>19</v>
      </c>
      <c r="B5" s="203" t="s">
        <v>32</v>
      </c>
      <c r="C5" s="204" t="s">
        <v>33</v>
      </c>
      <c r="D5" s="204" t="s">
        <v>34</v>
      </c>
      <c r="E5" s="204" t="s">
        <v>1</v>
      </c>
      <c r="F5" s="204" t="s">
        <v>16</v>
      </c>
      <c r="G5" s="204" t="s">
        <v>2</v>
      </c>
      <c r="H5" s="205" t="s">
        <v>3</v>
      </c>
      <c r="I5" s="398" t="s">
        <v>29</v>
      </c>
      <c r="J5" s="400" t="s">
        <v>42</v>
      </c>
      <c r="K5" s="390" t="s">
        <v>21</v>
      </c>
      <c r="L5" s="401" t="s">
        <v>48</v>
      </c>
      <c r="M5" s="394" t="s">
        <v>50</v>
      </c>
    </row>
    <row r="6" spans="1:13" ht="14.1" customHeight="1" x14ac:dyDescent="0.2">
      <c r="A6" s="206" t="s">
        <v>0</v>
      </c>
      <c r="B6" s="207">
        <v>1111</v>
      </c>
      <c r="C6" s="208">
        <v>1112</v>
      </c>
      <c r="D6" s="208">
        <v>1113</v>
      </c>
      <c r="E6" s="208">
        <v>1121</v>
      </c>
      <c r="F6" s="208">
        <v>1122</v>
      </c>
      <c r="G6" s="208">
        <v>1211</v>
      </c>
      <c r="H6" s="209">
        <v>1511</v>
      </c>
      <c r="I6" s="399"/>
      <c r="J6" s="400"/>
      <c r="K6" s="391"/>
      <c r="L6" s="402"/>
      <c r="M6" s="394"/>
    </row>
    <row r="7" spans="1:13" ht="14.1" customHeight="1" x14ac:dyDescent="0.2">
      <c r="A7" s="205" t="s">
        <v>4</v>
      </c>
      <c r="B7" s="210">
        <v>3240101.5</v>
      </c>
      <c r="C7" s="211">
        <v>64542.34</v>
      </c>
      <c r="D7" s="211">
        <v>268866.8</v>
      </c>
      <c r="E7" s="211">
        <v>1267626.29</v>
      </c>
      <c r="F7" s="212"/>
      <c r="G7" s="213">
        <v>5255762.3</v>
      </c>
      <c r="H7" s="214">
        <v>50985.599999999999</v>
      </c>
      <c r="I7" s="215">
        <f t="shared" ref="I7:I18" si="0">SUM(B7:H7)</f>
        <v>10147884.83</v>
      </c>
      <c r="J7" s="216">
        <f>SUM(I7)</f>
        <v>10147884.83</v>
      </c>
      <c r="K7" s="217">
        <f>I7/1</f>
        <v>10147884.83</v>
      </c>
      <c r="L7" s="218">
        <v>9052808.7200000007</v>
      </c>
      <c r="M7" s="219">
        <f>L7</f>
        <v>9052808.7200000007</v>
      </c>
    </row>
    <row r="8" spans="1:13" ht="14.1" customHeight="1" x14ac:dyDescent="0.2">
      <c r="A8" s="205" t="s">
        <v>5</v>
      </c>
      <c r="B8" s="220">
        <v>1944411.27</v>
      </c>
      <c r="C8" s="221">
        <v>63661.93</v>
      </c>
      <c r="D8" s="221">
        <v>290861.62</v>
      </c>
      <c r="E8" s="221">
        <v>188971.12</v>
      </c>
      <c r="F8" s="222"/>
      <c r="G8" s="219">
        <v>6870715.8200000003</v>
      </c>
      <c r="H8" s="223">
        <v>3287.12</v>
      </c>
      <c r="I8" s="215">
        <f t="shared" si="0"/>
        <v>9361908.879999999</v>
      </c>
      <c r="J8" s="216">
        <f>SUM(I7:I8)</f>
        <v>19509793.710000001</v>
      </c>
      <c r="K8" s="217">
        <f>SUM(I7:I8)/2</f>
        <v>9754896.8550000004</v>
      </c>
      <c r="L8" s="218">
        <v>9743225.4900000002</v>
      </c>
      <c r="M8" s="219">
        <f>SUM(L7:L8)</f>
        <v>18796034.210000001</v>
      </c>
    </row>
    <row r="9" spans="1:13" ht="14.1" customHeight="1" x14ac:dyDescent="0.2">
      <c r="A9" s="205" t="s">
        <v>6</v>
      </c>
      <c r="B9" s="220">
        <v>1319434.04</v>
      </c>
      <c r="C9" s="221">
        <v>202617.44</v>
      </c>
      <c r="D9" s="221">
        <v>202277.67</v>
      </c>
      <c r="E9" s="221">
        <v>4869189.29</v>
      </c>
      <c r="F9" s="222"/>
      <c r="G9" s="219">
        <v>2671503.0099999998</v>
      </c>
      <c r="H9" s="223">
        <v>0</v>
      </c>
      <c r="I9" s="215">
        <f t="shared" si="0"/>
        <v>9265021.4499999993</v>
      </c>
      <c r="J9" s="216">
        <f>SUM(I7:I9)</f>
        <v>28774815.16</v>
      </c>
      <c r="K9" s="217">
        <f>SUM(I7:I9)/3</f>
        <v>9591605.0533333328</v>
      </c>
      <c r="L9" s="218">
        <v>10869974.43</v>
      </c>
      <c r="M9" s="219">
        <f>SUM(L7:L9)</f>
        <v>29666008.640000001</v>
      </c>
    </row>
    <row r="10" spans="1:13" ht="14.1" customHeight="1" x14ac:dyDescent="0.2">
      <c r="A10" s="205" t="s">
        <v>7</v>
      </c>
      <c r="B10" s="220">
        <v>401086.52</v>
      </c>
      <c r="C10" s="221">
        <v>0</v>
      </c>
      <c r="D10" s="221">
        <v>240860.73</v>
      </c>
      <c r="E10" s="221">
        <v>1342638.93</v>
      </c>
      <c r="F10" s="222"/>
      <c r="G10" s="219">
        <v>4053519.95</v>
      </c>
      <c r="H10" s="223">
        <v>4962.83</v>
      </c>
      <c r="I10" s="215">
        <f t="shared" si="0"/>
        <v>6043068.96</v>
      </c>
      <c r="J10" s="216">
        <f>SUM(I7:I10)</f>
        <v>34817884.119999997</v>
      </c>
      <c r="K10" s="217">
        <f>SUM(I7:I10)/4</f>
        <v>8704471.0299999993</v>
      </c>
      <c r="L10" s="218">
        <v>6448784.04</v>
      </c>
      <c r="M10" s="219">
        <f>SUM(L7:L10)</f>
        <v>36114792.68</v>
      </c>
    </row>
    <row r="11" spans="1:13" ht="14.1" customHeight="1" x14ac:dyDescent="0.2">
      <c r="A11" s="205" t="s">
        <v>8</v>
      </c>
      <c r="B11" s="220">
        <v>951970.43</v>
      </c>
      <c r="C11" s="221">
        <v>0</v>
      </c>
      <c r="D11" s="221">
        <v>243269.79</v>
      </c>
      <c r="E11" s="221">
        <v>226898.71</v>
      </c>
      <c r="F11" s="222"/>
      <c r="G11" s="219">
        <v>6733585.4199999999</v>
      </c>
      <c r="H11" s="223">
        <v>0</v>
      </c>
      <c r="I11" s="215">
        <f t="shared" si="0"/>
        <v>8155724.3499999996</v>
      </c>
      <c r="J11" s="224">
        <f>SUM(I7:I11)</f>
        <v>42973608.469999999</v>
      </c>
      <c r="K11" s="217">
        <f>SUM(I7:I11)/5</f>
        <v>8594721.6940000001</v>
      </c>
      <c r="L11" s="218">
        <v>5578158.0199999996</v>
      </c>
      <c r="M11" s="222">
        <f>SUM(L7:L11)</f>
        <v>41692950.700000003</v>
      </c>
    </row>
    <row r="12" spans="1:13" ht="14.1" customHeight="1" x14ac:dyDescent="0.2">
      <c r="A12" s="205" t="s">
        <v>9</v>
      </c>
      <c r="B12" s="220">
        <v>1687339.14</v>
      </c>
      <c r="C12" s="221">
        <v>0</v>
      </c>
      <c r="D12" s="221">
        <v>336117.49</v>
      </c>
      <c r="E12" s="221">
        <v>5628561.8499999996</v>
      </c>
      <c r="F12" s="222"/>
      <c r="G12" s="219">
        <v>4811765.8</v>
      </c>
      <c r="H12" s="223">
        <v>2839260.93</v>
      </c>
      <c r="I12" s="215">
        <f t="shared" si="0"/>
        <v>15303045.209999999</v>
      </c>
      <c r="J12" s="224">
        <f>SUM(I7:I12)</f>
        <v>58276653.68</v>
      </c>
      <c r="K12" s="217">
        <f>SUM(I7:I12)/6</f>
        <v>9712775.6133333333</v>
      </c>
      <c r="L12" s="218">
        <v>9944197.6099999994</v>
      </c>
      <c r="M12" s="222">
        <f>SUM(L7:L12)</f>
        <v>51637148.310000002</v>
      </c>
    </row>
    <row r="13" spans="1:13" ht="14.1" customHeight="1" x14ac:dyDescent="0.2">
      <c r="A13" s="205" t="s">
        <v>10</v>
      </c>
      <c r="B13" s="220">
        <v>2000420.62</v>
      </c>
      <c r="C13" s="221">
        <v>181911.46</v>
      </c>
      <c r="D13" s="221">
        <v>364451.96</v>
      </c>
      <c r="E13" s="221">
        <v>6404519.6399999997</v>
      </c>
      <c r="F13" s="221"/>
      <c r="G13" s="225">
        <v>5796931.3499999996</v>
      </c>
      <c r="H13" s="223">
        <v>46991.42</v>
      </c>
      <c r="I13" s="215">
        <f t="shared" si="0"/>
        <v>14795226.449999999</v>
      </c>
      <c r="J13" s="224">
        <f>SUM(I7:I13)</f>
        <v>73071880.129999995</v>
      </c>
      <c r="K13" s="217">
        <f>SUM(I7:I13)/7</f>
        <v>10438840.018571427</v>
      </c>
      <c r="L13" s="218">
        <v>11105025.689999999</v>
      </c>
      <c r="M13" s="222">
        <f>SUM(L7:L13)</f>
        <v>62742174</v>
      </c>
    </row>
    <row r="14" spans="1:13" ht="14.1" customHeight="1" x14ac:dyDescent="0.2">
      <c r="A14" s="205" t="s">
        <v>11</v>
      </c>
      <c r="B14" s="220">
        <v>1900976.22</v>
      </c>
      <c r="C14" s="221">
        <v>0</v>
      </c>
      <c r="D14" s="221">
        <v>311112.13</v>
      </c>
      <c r="E14" s="221">
        <v>0</v>
      </c>
      <c r="F14" s="222">
        <v>2540300</v>
      </c>
      <c r="G14" s="219">
        <v>7294324.4900000002</v>
      </c>
      <c r="H14" s="223">
        <v>28554.58</v>
      </c>
      <c r="I14" s="215">
        <f t="shared" si="0"/>
        <v>12075267.42</v>
      </c>
      <c r="J14" s="224">
        <f>SUM(I7:I14)</f>
        <v>85147147.549999997</v>
      </c>
      <c r="K14" s="217">
        <f>SUM(I7:I14)/8</f>
        <v>10643393.44375</v>
      </c>
      <c r="L14" s="218">
        <v>12873046.98</v>
      </c>
      <c r="M14" s="222">
        <f>SUM(L7:L14)</f>
        <v>75615220.980000004</v>
      </c>
    </row>
    <row r="15" spans="1:13" ht="14.1" customHeight="1" x14ac:dyDescent="0.2">
      <c r="A15" s="205" t="s">
        <v>12</v>
      </c>
      <c r="B15" s="220">
        <v>1933668.13</v>
      </c>
      <c r="C15" s="221">
        <v>242060.77</v>
      </c>
      <c r="D15" s="221">
        <v>430598.71</v>
      </c>
      <c r="E15" s="221">
        <v>4227004.12</v>
      </c>
      <c r="F15" s="222"/>
      <c r="G15" s="219">
        <v>4526669.63</v>
      </c>
      <c r="H15" s="223">
        <v>91935.08</v>
      </c>
      <c r="I15" s="215">
        <f t="shared" si="0"/>
        <v>11451936.439999999</v>
      </c>
      <c r="J15" s="224">
        <f>SUM(I7:I15)</f>
        <v>96599083.989999995</v>
      </c>
      <c r="K15" s="217">
        <f>SUM(I7:I15)/9</f>
        <v>10733231.554444443</v>
      </c>
      <c r="L15" s="218">
        <v>11576787.279999999</v>
      </c>
      <c r="M15" s="222">
        <f>SUM(L7:L15)</f>
        <v>87192008.260000005</v>
      </c>
    </row>
    <row r="16" spans="1:13" ht="14.1" customHeight="1" x14ac:dyDescent="0.2">
      <c r="A16" s="205" t="s">
        <v>13</v>
      </c>
      <c r="B16" s="220">
        <v>2003026.35</v>
      </c>
      <c r="C16" s="221">
        <v>110439.17</v>
      </c>
      <c r="D16" s="221">
        <v>329551.61</v>
      </c>
      <c r="E16" s="221">
        <v>943064.29</v>
      </c>
      <c r="F16" s="222"/>
      <c r="G16" s="219">
        <v>5564919.0700000003</v>
      </c>
      <c r="H16" s="223">
        <v>15694.09</v>
      </c>
      <c r="I16" s="215">
        <f t="shared" si="0"/>
        <v>8966694.5800000001</v>
      </c>
      <c r="J16" s="224">
        <f>SUM(I7:I16)</f>
        <v>105565778.56999999</v>
      </c>
      <c r="K16" s="217">
        <f>SUM(I7:I16)/10</f>
        <v>10556577.856999999</v>
      </c>
      <c r="L16" s="218">
        <v>8656881.4499999993</v>
      </c>
      <c r="M16" s="222">
        <f>SUM(L7:L16)</f>
        <v>95848889.710000008</v>
      </c>
    </row>
    <row r="17" spans="1:13" ht="14.1" customHeight="1" x14ac:dyDescent="0.2">
      <c r="A17" s="205" t="s">
        <v>14</v>
      </c>
      <c r="B17" s="220">
        <v>1944400.61</v>
      </c>
      <c r="C17" s="221">
        <v>89560.54</v>
      </c>
      <c r="D17" s="221">
        <v>283307.59000000003</v>
      </c>
      <c r="E17" s="221">
        <v>148258.75</v>
      </c>
      <c r="F17" s="222"/>
      <c r="G17" s="219">
        <v>7698895.7300000004</v>
      </c>
      <c r="H17" s="223">
        <v>39365.519999999997</v>
      </c>
      <c r="I17" s="215">
        <f t="shared" si="0"/>
        <v>10203788.74</v>
      </c>
      <c r="J17" s="224">
        <f>SUM(I7:I17)</f>
        <v>115769567.30999999</v>
      </c>
      <c r="K17" s="217">
        <f>SUM(I7:I17)/11</f>
        <v>10524506.119090907</v>
      </c>
      <c r="L17" s="218">
        <v>9893053.7899999991</v>
      </c>
      <c r="M17" s="219">
        <f>SUM(L7:L17)</f>
        <v>105741943.5</v>
      </c>
    </row>
    <row r="18" spans="1:13" ht="14.1" customHeight="1" thickBot="1" x14ac:dyDescent="0.25">
      <c r="A18" s="205" t="s">
        <v>15</v>
      </c>
      <c r="B18" s="220">
        <v>2443547.2799999998</v>
      </c>
      <c r="C18" s="221">
        <v>437253.52</v>
      </c>
      <c r="D18" s="221">
        <v>308813.76</v>
      </c>
      <c r="E18" s="221">
        <v>5212335.6399999997</v>
      </c>
      <c r="F18" s="222"/>
      <c r="G18" s="219">
        <v>6843575.6200000001</v>
      </c>
      <c r="H18" s="223">
        <v>721963.23</v>
      </c>
      <c r="I18" s="226">
        <f t="shared" si="0"/>
        <v>15967489.050000001</v>
      </c>
      <c r="J18" s="224">
        <f>SUM(I7:I18)</f>
        <v>131737056.35999998</v>
      </c>
      <c r="K18" s="217">
        <f>SUM(I7:I18)/12</f>
        <v>10978088.029999999</v>
      </c>
      <c r="L18" s="227">
        <v>13900488.49</v>
      </c>
      <c r="M18" s="228">
        <f>SUM(L7:L18)</f>
        <v>119642431.98999999</v>
      </c>
    </row>
    <row r="19" spans="1:13" ht="30" customHeight="1" thickBot="1" x14ac:dyDescent="0.25">
      <c r="A19" s="229" t="s">
        <v>28</v>
      </c>
      <c r="B19" s="230">
        <f>SUM(B7:B18)</f>
        <v>21770382.110000003</v>
      </c>
      <c r="C19" s="230">
        <f t="shared" ref="C19:H19" si="1">SUM(C7:C18)</f>
        <v>1392047.17</v>
      </c>
      <c r="D19" s="230">
        <f t="shared" si="1"/>
        <v>3610089.8599999994</v>
      </c>
      <c r="E19" s="230">
        <f t="shared" si="1"/>
        <v>30459068.629999999</v>
      </c>
      <c r="F19" s="230">
        <f t="shared" si="1"/>
        <v>2540300</v>
      </c>
      <c r="G19" s="230">
        <f t="shared" si="1"/>
        <v>68122168.190000013</v>
      </c>
      <c r="H19" s="230">
        <f t="shared" si="1"/>
        <v>3843000.4</v>
      </c>
      <c r="I19" s="231">
        <f>SUM(I7:I18)</f>
        <v>131737056.35999998</v>
      </c>
      <c r="J19" s="232" t="s">
        <v>31</v>
      </c>
      <c r="K19" s="233"/>
      <c r="L19" s="234">
        <f>SUM(L7:L18)</f>
        <v>119642431.98999999</v>
      </c>
    </row>
    <row r="20" spans="1:13" ht="12" customHeight="1" x14ac:dyDescent="0.2">
      <c r="A20" s="235"/>
      <c r="B20" s="236"/>
      <c r="C20" s="236"/>
      <c r="D20" s="236"/>
      <c r="E20" s="236"/>
      <c r="F20" s="236"/>
      <c r="G20" s="236"/>
      <c r="H20" s="236"/>
      <c r="J20" s="237">
        <f>SUM(B19:H19)</f>
        <v>131737056.36000001</v>
      </c>
      <c r="K20" s="238"/>
      <c r="L20" s="239"/>
    </row>
    <row r="21" spans="1:13" ht="33" customHeight="1" x14ac:dyDescent="0.2">
      <c r="A21" s="240" t="s">
        <v>57</v>
      </c>
      <c r="B21" s="241">
        <v>30681000</v>
      </c>
      <c r="C21" s="241">
        <v>397000</v>
      </c>
      <c r="D21" s="241">
        <v>3056000</v>
      </c>
      <c r="E21" s="241">
        <v>17266000</v>
      </c>
      <c r="F21" s="241"/>
      <c r="G21" s="241">
        <v>55794000</v>
      </c>
      <c r="H21" s="242">
        <v>3724000</v>
      </c>
      <c r="I21" s="243">
        <f>SUM(B21:H21)</f>
        <v>110918000</v>
      </c>
      <c r="J21" s="225"/>
      <c r="K21" s="238"/>
      <c r="L21" s="244">
        <f>L19/12</f>
        <v>9970202.6658333335</v>
      </c>
    </row>
    <row r="22" spans="1:13" ht="33" hidden="1" customHeight="1" x14ac:dyDescent="0.2">
      <c r="A22" s="245" t="s">
        <v>59</v>
      </c>
      <c r="B22" s="246">
        <v>14380000</v>
      </c>
      <c r="C22" s="246">
        <v>330000</v>
      </c>
      <c r="D22" s="246">
        <v>2880000</v>
      </c>
      <c r="E22" s="246">
        <v>15750000</v>
      </c>
      <c r="F22" s="246"/>
      <c r="G22" s="246">
        <v>55794000</v>
      </c>
      <c r="H22" s="247">
        <v>3724000</v>
      </c>
      <c r="I22" s="248">
        <f>SUM(B22:H22)</f>
        <v>92858000</v>
      </c>
      <c r="J22" s="225"/>
      <c r="K22" s="238"/>
      <c r="L22" s="249" t="s">
        <v>53</v>
      </c>
    </row>
    <row r="23" spans="1:13" ht="27" hidden="1" customHeight="1" x14ac:dyDescent="0.2">
      <c r="A23" s="245" t="s">
        <v>47</v>
      </c>
      <c r="B23" s="246"/>
      <c r="C23" s="250"/>
      <c r="D23" s="250"/>
      <c r="E23" s="250"/>
      <c r="F23" s="250"/>
      <c r="G23" s="250"/>
      <c r="H23" s="251"/>
      <c r="I23" s="252"/>
      <c r="J23" s="253"/>
      <c r="K23" s="236"/>
      <c r="L23" s="254"/>
    </row>
    <row r="24" spans="1:13" ht="33" customHeight="1" x14ac:dyDescent="0.2">
      <c r="A24" s="245" t="s">
        <v>65</v>
      </c>
      <c r="B24" s="246">
        <v>14380000</v>
      </c>
      <c r="C24" s="250">
        <v>513000</v>
      </c>
      <c r="D24" s="250">
        <v>2880000</v>
      </c>
      <c r="E24" s="250">
        <v>19988000</v>
      </c>
      <c r="F24" s="250">
        <v>2540500</v>
      </c>
      <c r="G24" s="250">
        <v>55794000</v>
      </c>
      <c r="H24" s="251">
        <v>3724000</v>
      </c>
      <c r="I24" s="255">
        <f>SUM(B24:H24)</f>
        <v>99819500</v>
      </c>
      <c r="J24" s="253"/>
      <c r="K24" s="236"/>
      <c r="L24" s="254"/>
    </row>
    <row r="25" spans="1:13" ht="15.95" customHeight="1" x14ac:dyDescent="0.2">
      <c r="A25" s="256" t="s">
        <v>22</v>
      </c>
      <c r="B25" s="257">
        <f t="shared" ref="B25:I25" si="2">B19/B24</f>
        <v>1.513934778164117</v>
      </c>
      <c r="C25" s="257">
        <f t="shared" si="2"/>
        <v>2.7135422417153996</v>
      </c>
      <c r="D25" s="257">
        <f t="shared" si="2"/>
        <v>1.2535034236111109</v>
      </c>
      <c r="E25" s="257">
        <f t="shared" si="2"/>
        <v>1.5238677521512907</v>
      </c>
      <c r="F25" s="257">
        <f t="shared" si="2"/>
        <v>0.99992127533950015</v>
      </c>
      <c r="G25" s="257">
        <f t="shared" si="2"/>
        <v>1.2209586727963582</v>
      </c>
      <c r="H25" s="258">
        <f t="shared" si="2"/>
        <v>1.0319549946294306</v>
      </c>
      <c r="I25" s="259">
        <f t="shared" si="2"/>
        <v>1.3197527172546444</v>
      </c>
      <c r="J25" s="260"/>
      <c r="K25" s="238"/>
      <c r="L25" s="236"/>
    </row>
    <row r="26" spans="1:13" ht="12" customHeight="1" x14ac:dyDescent="0.2">
      <c r="A26" s="235"/>
      <c r="B26" s="236"/>
      <c r="C26" s="236"/>
      <c r="D26" s="236"/>
      <c r="E26" s="236"/>
      <c r="F26" s="261"/>
      <c r="G26" s="236"/>
      <c r="H26" s="236"/>
      <c r="I26" s="236"/>
      <c r="J26" s="225"/>
      <c r="K26" s="238"/>
      <c r="L26" s="236"/>
    </row>
    <row r="27" spans="1:13" ht="21.95" customHeight="1" x14ac:dyDescent="0.2">
      <c r="A27" s="262" t="s">
        <v>48</v>
      </c>
      <c r="B27" s="263">
        <v>29483373.91</v>
      </c>
      <c r="C27" s="263">
        <v>466067.7</v>
      </c>
      <c r="D27" s="263">
        <v>2843757.69</v>
      </c>
      <c r="E27" s="263">
        <v>21285414.329999998</v>
      </c>
      <c r="F27" s="263">
        <v>3578460</v>
      </c>
      <c r="G27" s="263">
        <v>58375737.68</v>
      </c>
      <c r="H27" s="264">
        <v>3609620.68</v>
      </c>
      <c r="I27" s="265">
        <f>SUM(B27:H27)</f>
        <v>119642431.99000001</v>
      </c>
    </row>
    <row r="28" spans="1:13" ht="18" customHeight="1" x14ac:dyDescent="0.2">
      <c r="A28" s="266"/>
      <c r="B28" s="267"/>
      <c r="C28" s="267"/>
      <c r="D28" s="267"/>
      <c r="E28" s="267"/>
      <c r="F28" s="267"/>
      <c r="G28" s="267"/>
      <c r="H28" s="267"/>
      <c r="I28" s="236"/>
    </row>
    <row r="29" spans="1:13" ht="17.100000000000001" customHeight="1" x14ac:dyDescent="0.2">
      <c r="A29" s="268"/>
      <c r="B29" s="225"/>
      <c r="C29" s="267"/>
      <c r="D29" s="269"/>
      <c r="E29" s="269"/>
      <c r="F29" s="269"/>
      <c r="G29" s="270"/>
    </row>
    <row r="30" spans="1:13" ht="12" customHeight="1" x14ac:dyDescent="0.2">
      <c r="A30" s="271"/>
      <c r="B30" s="272" t="s">
        <v>26</v>
      </c>
      <c r="C30" s="273"/>
      <c r="D30" s="273"/>
      <c r="E30" s="267"/>
      <c r="F30" s="269"/>
      <c r="G30" s="270"/>
      <c r="I30" s="274" t="s">
        <v>54</v>
      </c>
    </row>
    <row r="31" spans="1:13" ht="45" customHeight="1" x14ac:dyDescent="0.2">
      <c r="B31" s="275" t="s">
        <v>24</v>
      </c>
      <c r="C31" s="276" t="s">
        <v>35</v>
      </c>
      <c r="D31" s="277" t="s">
        <v>20</v>
      </c>
      <c r="E31" s="278"/>
      <c r="F31" s="269"/>
      <c r="I31" s="279"/>
      <c r="J31" s="204" t="s">
        <v>52</v>
      </c>
      <c r="K31" s="280" t="s">
        <v>51</v>
      </c>
      <c r="L31" s="280" t="s">
        <v>43</v>
      </c>
      <c r="M31" s="280" t="s">
        <v>45</v>
      </c>
    </row>
    <row r="32" spans="1:13" ht="21.95" customHeight="1" x14ac:dyDescent="0.2">
      <c r="A32" s="239" t="s">
        <v>27</v>
      </c>
      <c r="B32" s="219">
        <f>$C$45*1</f>
        <v>9243166.6600000001</v>
      </c>
      <c r="C32" s="281">
        <v>10147884.83</v>
      </c>
      <c r="D32" s="282">
        <f t="shared" ref="D32:D43" si="3">C32-B32</f>
        <v>904718.16999999993</v>
      </c>
      <c r="E32" s="254" t="s">
        <v>40</v>
      </c>
      <c r="F32" s="283"/>
      <c r="I32" s="284" t="s">
        <v>0</v>
      </c>
      <c r="J32" s="208">
        <v>1211</v>
      </c>
      <c r="K32" s="285">
        <v>1211</v>
      </c>
      <c r="L32" s="285">
        <v>1211</v>
      </c>
      <c r="M32" s="285">
        <v>1211</v>
      </c>
    </row>
    <row r="33" spans="1:13" ht="15.75" customHeight="1" x14ac:dyDescent="0.2">
      <c r="A33" s="239" t="s">
        <v>5</v>
      </c>
      <c r="B33" s="219">
        <f>$C$45*2</f>
        <v>18486333.32</v>
      </c>
      <c r="C33" s="286">
        <v>19509793.710000001</v>
      </c>
      <c r="D33" s="282">
        <f t="shared" si="3"/>
        <v>1023460.3900000006</v>
      </c>
      <c r="E33" s="254" t="s">
        <v>40</v>
      </c>
      <c r="F33" s="283"/>
      <c r="I33" s="287" t="s">
        <v>4</v>
      </c>
      <c r="J33" s="213">
        <v>5255762.3</v>
      </c>
      <c r="K33" s="288">
        <v>5252142.5</v>
      </c>
      <c r="L33" s="288">
        <v>5106371.01</v>
      </c>
      <c r="M33" s="288">
        <v>4476886.3</v>
      </c>
    </row>
    <row r="34" spans="1:13" ht="15.75" customHeight="1" x14ac:dyDescent="0.2">
      <c r="A34" s="239" t="s">
        <v>6</v>
      </c>
      <c r="B34" s="219">
        <f>$C$46*3</f>
        <v>23214500</v>
      </c>
      <c r="C34" s="286">
        <v>28774815.16</v>
      </c>
      <c r="D34" s="282">
        <f t="shared" si="3"/>
        <v>5560315.1600000001</v>
      </c>
      <c r="E34" s="254" t="s">
        <v>40</v>
      </c>
      <c r="F34" s="283"/>
      <c r="I34" s="287" t="s">
        <v>5</v>
      </c>
      <c r="J34" s="219">
        <v>6870715.8200000003</v>
      </c>
      <c r="K34" s="289">
        <v>6469795.5300000003</v>
      </c>
      <c r="L34" s="289">
        <v>6034716.8700000001</v>
      </c>
      <c r="M34" s="289">
        <v>6314056.7599999998</v>
      </c>
    </row>
    <row r="35" spans="1:13" ht="15.75" customHeight="1" x14ac:dyDescent="0.2">
      <c r="A35" s="239" t="s">
        <v>7</v>
      </c>
      <c r="B35" s="219">
        <f>$C$46*4</f>
        <v>30952666.666666668</v>
      </c>
      <c r="C35" s="286">
        <v>34817884.119999997</v>
      </c>
      <c r="D35" s="282">
        <f t="shared" si="3"/>
        <v>3865217.4533333294</v>
      </c>
      <c r="E35" s="254" t="s">
        <v>40</v>
      </c>
      <c r="F35" s="283"/>
      <c r="I35" s="287" t="s">
        <v>6</v>
      </c>
      <c r="J35" s="219">
        <v>2671503.0099999998</v>
      </c>
      <c r="K35" s="289">
        <v>3369082.48</v>
      </c>
      <c r="L35" s="289">
        <v>2779600.07</v>
      </c>
      <c r="M35" s="289">
        <v>2963997.77</v>
      </c>
    </row>
    <row r="36" spans="1:13" ht="15.75" customHeight="1" x14ac:dyDescent="0.2">
      <c r="A36" s="290" t="s">
        <v>8</v>
      </c>
      <c r="B36" s="219">
        <f>$C$46*5</f>
        <v>38690833.333333336</v>
      </c>
      <c r="C36" s="216">
        <v>42973608.469999999</v>
      </c>
      <c r="D36" s="282">
        <f t="shared" si="3"/>
        <v>4282775.136666663</v>
      </c>
      <c r="E36" s="254" t="s">
        <v>40</v>
      </c>
      <c r="F36" s="283"/>
      <c r="I36" s="287" t="s">
        <v>7</v>
      </c>
      <c r="J36" s="219">
        <v>4053519.95</v>
      </c>
      <c r="K36" s="289">
        <v>3372276.48</v>
      </c>
      <c r="L36" s="289">
        <v>3684564.18</v>
      </c>
      <c r="M36" s="289">
        <v>3364689.07</v>
      </c>
    </row>
    <row r="37" spans="1:13" ht="15.75" customHeight="1" x14ac:dyDescent="0.2">
      <c r="A37" s="239" t="s">
        <v>9</v>
      </c>
      <c r="B37" s="219">
        <f>$C$46*6</f>
        <v>46429000</v>
      </c>
      <c r="C37" s="216">
        <v>58276653.68</v>
      </c>
      <c r="D37" s="228">
        <f t="shared" si="3"/>
        <v>11847653.68</v>
      </c>
      <c r="E37" s="254" t="s">
        <v>40</v>
      </c>
      <c r="F37" s="269"/>
      <c r="I37" s="287" t="s">
        <v>8</v>
      </c>
      <c r="J37" s="219">
        <v>6733585.4199999999</v>
      </c>
      <c r="K37" s="289">
        <v>4859277.78</v>
      </c>
      <c r="L37" s="289">
        <v>5998392.7199999997</v>
      </c>
      <c r="M37" s="289">
        <v>5447955.75</v>
      </c>
    </row>
    <row r="38" spans="1:13" ht="15.75" customHeight="1" x14ac:dyDescent="0.2">
      <c r="A38" s="239" t="s">
        <v>10</v>
      </c>
      <c r="B38" s="219">
        <f>$C$46*7</f>
        <v>54167166.666666672</v>
      </c>
      <c r="C38" s="291">
        <v>73071880.129999995</v>
      </c>
      <c r="D38" s="228">
        <f t="shared" si="3"/>
        <v>18904713.463333324</v>
      </c>
      <c r="E38" s="254" t="s">
        <v>40</v>
      </c>
      <c r="F38" s="283"/>
      <c r="I38" s="287" t="s">
        <v>9</v>
      </c>
      <c r="J38" s="219">
        <v>4811765.8</v>
      </c>
      <c r="K38" s="289">
        <v>3191430.85</v>
      </c>
      <c r="L38" s="289">
        <v>4378618.8</v>
      </c>
      <c r="M38" s="289">
        <v>3985574.59</v>
      </c>
    </row>
    <row r="39" spans="1:13" ht="15.75" customHeight="1" x14ac:dyDescent="0.2">
      <c r="A39" s="239" t="s">
        <v>11</v>
      </c>
      <c r="B39" s="219">
        <f>$C$46*8</f>
        <v>61905333.333333336</v>
      </c>
      <c r="C39" s="216">
        <v>85147147.549999997</v>
      </c>
      <c r="D39" s="282">
        <f t="shared" si="3"/>
        <v>23241814.216666661</v>
      </c>
      <c r="E39" s="254" t="s">
        <v>40</v>
      </c>
      <c r="F39" s="283"/>
      <c r="I39" s="287" t="s">
        <v>10</v>
      </c>
      <c r="J39" s="292">
        <v>5796931.3499999996</v>
      </c>
      <c r="K39" s="289">
        <v>4564190.4400000004</v>
      </c>
      <c r="L39" s="289">
        <v>4790309.29</v>
      </c>
      <c r="M39" s="289">
        <v>4614318.0199999996</v>
      </c>
    </row>
    <row r="40" spans="1:13" ht="15.75" customHeight="1" x14ac:dyDescent="0.2">
      <c r="A40" s="239" t="s">
        <v>12</v>
      </c>
      <c r="B40" s="219">
        <f>$C$46*9</f>
        <v>69643500</v>
      </c>
      <c r="C40" s="216">
        <v>96599083.989999995</v>
      </c>
      <c r="D40" s="282">
        <f t="shared" si="3"/>
        <v>26955583.989999995</v>
      </c>
      <c r="E40" s="254" t="s">
        <v>40</v>
      </c>
      <c r="F40" s="283"/>
      <c r="I40" s="287" t="s">
        <v>11</v>
      </c>
      <c r="J40" s="219">
        <v>7294324.4900000002</v>
      </c>
      <c r="K40" s="289">
        <v>6249409.1500000004</v>
      </c>
      <c r="L40" s="289">
        <v>5994646.1100000003</v>
      </c>
      <c r="M40" s="289">
        <v>5984771.8099999996</v>
      </c>
    </row>
    <row r="41" spans="1:13" ht="15.75" customHeight="1" x14ac:dyDescent="0.2">
      <c r="A41" s="239" t="s">
        <v>13</v>
      </c>
      <c r="B41" s="219">
        <f>$C$47*10</f>
        <v>83182916.599999994</v>
      </c>
      <c r="C41" s="216">
        <v>105565778.56999999</v>
      </c>
      <c r="D41" s="282">
        <f t="shared" si="3"/>
        <v>22382861.969999999</v>
      </c>
      <c r="E41" s="254" t="s">
        <v>40</v>
      </c>
      <c r="F41" s="283"/>
      <c r="I41" s="287" t="s">
        <v>12</v>
      </c>
      <c r="J41" s="219">
        <v>4526669.63</v>
      </c>
      <c r="K41" s="289">
        <v>4552347.4800000004</v>
      </c>
      <c r="L41" s="289">
        <v>4031142.81</v>
      </c>
      <c r="M41" s="289">
        <v>3389803.35</v>
      </c>
    </row>
    <row r="42" spans="1:13" ht="15.75" customHeight="1" x14ac:dyDescent="0.2">
      <c r="A42" s="239" t="s">
        <v>23</v>
      </c>
      <c r="B42" s="219">
        <f>$C$47*11</f>
        <v>91501208.260000005</v>
      </c>
      <c r="C42" s="216">
        <v>115769567.31</v>
      </c>
      <c r="D42" s="282">
        <f t="shared" si="3"/>
        <v>24268359.049999997</v>
      </c>
      <c r="E42" s="254" t="s">
        <v>40</v>
      </c>
      <c r="F42" s="283"/>
      <c r="I42" s="287" t="s">
        <v>13</v>
      </c>
      <c r="J42" s="219">
        <v>5564919.0700000003</v>
      </c>
      <c r="K42" s="289">
        <v>4626008.59</v>
      </c>
      <c r="L42" s="289">
        <v>4400002.55</v>
      </c>
      <c r="M42" s="289">
        <v>4571875.1900000004</v>
      </c>
    </row>
    <row r="43" spans="1:13" ht="15.75" customHeight="1" x14ac:dyDescent="0.2">
      <c r="A43" s="239" t="s">
        <v>15</v>
      </c>
      <c r="B43" s="219">
        <f>$C$47*12</f>
        <v>99819499.920000002</v>
      </c>
      <c r="C43" s="216">
        <v>131737056.36</v>
      </c>
      <c r="D43" s="282">
        <f t="shared" si="3"/>
        <v>31917556.439999998</v>
      </c>
      <c r="E43" s="254" t="s">
        <v>40</v>
      </c>
      <c r="F43" s="283"/>
      <c r="I43" s="287" t="s">
        <v>14</v>
      </c>
      <c r="J43" s="219">
        <v>7698895.7300000004</v>
      </c>
      <c r="K43" s="289">
        <v>6621002.2300000004</v>
      </c>
      <c r="L43" s="289">
        <v>6563125.0199999996</v>
      </c>
      <c r="M43" s="289">
        <v>6200510.8899999997</v>
      </c>
    </row>
    <row r="44" spans="1:13" ht="15.75" customHeight="1" x14ac:dyDescent="0.2">
      <c r="A44" s="392" t="s">
        <v>25</v>
      </c>
      <c r="B44" s="392"/>
      <c r="C44" s="293">
        <v>110918000</v>
      </c>
      <c r="D44" s="294"/>
      <c r="E44" s="294"/>
      <c r="F44" s="283"/>
      <c r="I44" s="287" t="s">
        <v>15</v>
      </c>
      <c r="J44" s="219">
        <v>6843575.6200000001</v>
      </c>
      <c r="K44" s="289">
        <v>5248774.17</v>
      </c>
      <c r="L44" s="289">
        <v>5317639.09</v>
      </c>
      <c r="M44" s="289">
        <v>5268772.22</v>
      </c>
    </row>
    <row r="45" spans="1:13" ht="35.25" customHeight="1" x14ac:dyDescent="0.2">
      <c r="A45" s="385" t="s">
        <v>37</v>
      </c>
      <c r="B45" s="385"/>
      <c r="C45" s="293">
        <v>9243166.6600000001</v>
      </c>
      <c r="D45" s="294"/>
      <c r="E45" s="294"/>
      <c r="F45" s="283"/>
      <c r="I45" s="295" t="s">
        <v>44</v>
      </c>
      <c r="J45" s="230">
        <f t="shared" ref="J45" si="4">SUM(J33:J44)</f>
        <v>68122168.190000013</v>
      </c>
      <c r="K45" s="296">
        <f>SUM(K33:K44)</f>
        <v>58375737.680000022</v>
      </c>
      <c r="L45" s="296">
        <f>SUM(L33:L44)</f>
        <v>59079128.519999996</v>
      </c>
      <c r="M45" s="296">
        <f>SUM(M33:M44)</f>
        <v>56583211.719999999</v>
      </c>
    </row>
    <row r="46" spans="1:13" ht="35.25" hidden="1" customHeight="1" x14ac:dyDescent="0.2">
      <c r="A46" s="385" t="s">
        <v>67</v>
      </c>
      <c r="B46" s="385"/>
      <c r="C46" s="293">
        <f>I22/12</f>
        <v>7738166.666666667</v>
      </c>
      <c r="D46" s="297"/>
      <c r="E46" s="294"/>
      <c r="F46" s="283"/>
      <c r="I46" s="298"/>
      <c r="J46" s="299"/>
      <c r="K46" s="299"/>
      <c r="L46" s="299"/>
    </row>
    <row r="47" spans="1:13" ht="35.25" customHeight="1" x14ac:dyDescent="0.2">
      <c r="A47" s="385" t="s">
        <v>66</v>
      </c>
      <c r="B47" s="385"/>
      <c r="C47" s="300">
        <v>8318291.6600000001</v>
      </c>
      <c r="D47" s="297"/>
      <c r="E47" s="294"/>
      <c r="F47" s="283"/>
      <c r="I47" s="298"/>
      <c r="J47" s="299"/>
      <c r="K47" s="299"/>
      <c r="L47" s="299"/>
    </row>
    <row r="48" spans="1:13" ht="15.75" customHeight="1" x14ac:dyDescent="0.2">
      <c r="A48" s="301" t="s">
        <v>36</v>
      </c>
      <c r="B48" s="225"/>
      <c r="C48" s="302"/>
      <c r="E48" s="267"/>
      <c r="F48" s="283"/>
    </row>
    <row r="49" spans="1:11" ht="15.75" customHeight="1" x14ac:dyDescent="0.2">
      <c r="A49" s="301"/>
      <c r="B49" s="225"/>
      <c r="C49" s="302"/>
      <c r="E49" s="267"/>
      <c r="F49" s="283"/>
    </row>
    <row r="50" spans="1:11" x14ac:dyDescent="0.2">
      <c r="A50" s="266"/>
      <c r="B50" s="267"/>
      <c r="C50" s="267"/>
      <c r="D50" s="267"/>
      <c r="E50" s="267"/>
      <c r="F50" s="267"/>
      <c r="G50" s="267"/>
      <c r="H50" s="267"/>
      <c r="I50" s="236"/>
      <c r="K50" s="236"/>
    </row>
    <row r="51" spans="1:11" ht="15.75" x14ac:dyDescent="0.2">
      <c r="A51" s="196" t="s">
        <v>55</v>
      </c>
      <c r="B51" s="225"/>
      <c r="D51" s="303"/>
      <c r="E51" s="304"/>
      <c r="F51" s="304"/>
      <c r="G51" s="304"/>
      <c r="H51" s="304"/>
      <c r="I51" s="304"/>
      <c r="J51" s="304"/>
      <c r="K51" s="304"/>
    </row>
    <row r="52" spans="1:11" ht="15.75" x14ac:dyDescent="0.2">
      <c r="A52" s="196"/>
      <c r="B52" s="225"/>
      <c r="D52" s="303"/>
      <c r="E52" s="304"/>
      <c r="F52" s="304"/>
      <c r="G52" s="304"/>
      <c r="H52" s="304"/>
      <c r="I52" s="304"/>
      <c r="J52" s="304"/>
      <c r="K52" s="304"/>
    </row>
    <row r="53" spans="1:11" ht="15.75" customHeight="1" x14ac:dyDescent="0.2">
      <c r="A53" s="196"/>
      <c r="B53" s="225"/>
      <c r="C53" s="305"/>
      <c r="E53" s="304"/>
      <c r="F53" s="304"/>
      <c r="G53" s="304"/>
      <c r="H53" s="304"/>
      <c r="I53" s="304"/>
      <c r="J53" s="304"/>
      <c r="K53" s="304"/>
    </row>
    <row r="54" spans="1:11" x14ac:dyDescent="0.2">
      <c r="A54" s="198" t="s">
        <v>17</v>
      </c>
      <c r="B54" s="393" t="s">
        <v>56</v>
      </c>
      <c r="C54" s="393"/>
      <c r="D54" s="393"/>
      <c r="E54" s="393"/>
      <c r="F54" s="393"/>
      <c r="G54" s="306"/>
      <c r="H54" s="201"/>
    </row>
    <row r="55" spans="1:11" ht="38.25" customHeight="1" x14ac:dyDescent="0.2">
      <c r="A55" s="202" t="s">
        <v>18</v>
      </c>
      <c r="B55" s="307" t="s">
        <v>41</v>
      </c>
      <c r="C55" s="205" t="s">
        <v>38</v>
      </c>
      <c r="D55" s="386" t="s">
        <v>39</v>
      </c>
      <c r="E55" s="388" t="s">
        <v>42</v>
      </c>
      <c r="F55" s="390" t="s">
        <v>21</v>
      </c>
      <c r="G55" s="381" t="s">
        <v>48</v>
      </c>
      <c r="H55" s="383" t="s">
        <v>50</v>
      </c>
    </row>
    <row r="56" spans="1:11" ht="15" customHeight="1" x14ac:dyDescent="0.2">
      <c r="A56" s="206" t="s">
        <v>0</v>
      </c>
      <c r="B56" s="308">
        <v>1381</v>
      </c>
      <c r="C56" s="309">
        <v>1385</v>
      </c>
      <c r="D56" s="387"/>
      <c r="E56" s="389"/>
      <c r="F56" s="391"/>
      <c r="G56" s="382"/>
      <c r="H56" s="384"/>
    </row>
    <row r="57" spans="1:11" ht="14.1" customHeight="1" x14ac:dyDescent="0.2">
      <c r="A57" s="307" t="s">
        <v>4</v>
      </c>
      <c r="B57" s="310">
        <v>60352.26</v>
      </c>
      <c r="C57" s="311">
        <v>0</v>
      </c>
      <c r="D57" s="312">
        <f>SUM(B57:C57)</f>
        <v>60352.26</v>
      </c>
      <c r="E57" s="313">
        <f>D57</f>
        <v>60352.26</v>
      </c>
      <c r="F57" s="314">
        <f>E57/1</f>
        <v>60352.26</v>
      </c>
      <c r="G57" s="315">
        <v>68397.94</v>
      </c>
      <c r="H57" s="213">
        <f>SUM(G57)</f>
        <v>68397.94</v>
      </c>
    </row>
    <row r="58" spans="1:11" ht="14.1" customHeight="1" x14ac:dyDescent="0.2">
      <c r="A58" s="307" t="s">
        <v>5</v>
      </c>
      <c r="B58" s="316">
        <v>213744.58</v>
      </c>
      <c r="C58" s="311">
        <v>0</v>
      </c>
      <c r="D58" s="312">
        <f t="shared" ref="D58:D69" si="5">SUM(B58:C58)</f>
        <v>213744.58</v>
      </c>
      <c r="E58" s="313">
        <f>SUM($D$57:D58)</f>
        <v>274096.83999999997</v>
      </c>
      <c r="F58" s="317">
        <f>E58/2</f>
        <v>137048.41999999998</v>
      </c>
      <c r="G58" s="318">
        <v>881569.23</v>
      </c>
      <c r="H58" s="219">
        <f>SUM(G57:G58)</f>
        <v>949967.16999999993</v>
      </c>
    </row>
    <row r="59" spans="1:11" ht="14.1" customHeight="1" x14ac:dyDescent="0.2">
      <c r="A59" s="307" t="s">
        <v>6</v>
      </c>
      <c r="B59" s="316">
        <v>1190.9100000000001</v>
      </c>
      <c r="C59" s="311">
        <v>0</v>
      </c>
      <c r="D59" s="312">
        <f t="shared" si="5"/>
        <v>1190.9100000000001</v>
      </c>
      <c r="E59" s="313">
        <f>SUM($D$57:D59)</f>
        <v>275287.74999999994</v>
      </c>
      <c r="F59" s="317">
        <f>E59/3</f>
        <v>91762.583333333314</v>
      </c>
      <c r="G59" s="318">
        <v>36399.870000000003</v>
      </c>
      <c r="H59" s="219">
        <f>SUM(G57:G59)</f>
        <v>986367.03999999992</v>
      </c>
    </row>
    <row r="60" spans="1:11" ht="14.1" customHeight="1" x14ac:dyDescent="0.2">
      <c r="A60" s="307" t="s">
        <v>7</v>
      </c>
      <c r="B60" s="316">
        <v>0</v>
      </c>
      <c r="C60" s="311">
        <v>0</v>
      </c>
      <c r="D60" s="312">
        <f t="shared" si="5"/>
        <v>0</v>
      </c>
      <c r="E60" s="313">
        <f>SUM($D$57:D60)</f>
        <v>275287.74999999994</v>
      </c>
      <c r="F60" s="317">
        <f>E60/4</f>
        <v>68821.937499999985</v>
      </c>
      <c r="G60" s="318">
        <v>6868.03</v>
      </c>
      <c r="H60" s="219">
        <f>SUM(G57:G60)</f>
        <v>993235.07</v>
      </c>
    </row>
    <row r="61" spans="1:11" ht="14.1" customHeight="1" x14ac:dyDescent="0.2">
      <c r="A61" s="307" t="s">
        <v>8</v>
      </c>
      <c r="B61" s="316">
        <v>174587.99</v>
      </c>
      <c r="C61" s="311">
        <v>0</v>
      </c>
      <c r="D61" s="312">
        <f t="shared" si="5"/>
        <v>174587.99</v>
      </c>
      <c r="E61" s="313">
        <f>SUM($D$57:D61)</f>
        <v>449875.73999999993</v>
      </c>
      <c r="F61" s="317">
        <f>E61/5</f>
        <v>89975.147999999986</v>
      </c>
      <c r="G61" s="318">
        <v>500249.59999999998</v>
      </c>
      <c r="H61" s="219">
        <f>SUM(G57:G61)</f>
        <v>1493484.67</v>
      </c>
    </row>
    <row r="62" spans="1:11" ht="14.1" customHeight="1" x14ac:dyDescent="0.2">
      <c r="A62" s="307" t="s">
        <v>9</v>
      </c>
      <c r="B62" s="316">
        <v>0</v>
      </c>
      <c r="C62" s="311">
        <v>0</v>
      </c>
      <c r="D62" s="312">
        <f t="shared" si="5"/>
        <v>0</v>
      </c>
      <c r="E62" s="313">
        <f>SUM($D$57:D62)</f>
        <v>449875.73999999993</v>
      </c>
      <c r="F62" s="317">
        <f>E62/6</f>
        <v>74979.289999999994</v>
      </c>
      <c r="G62" s="318">
        <v>12431.4</v>
      </c>
      <c r="H62" s="319">
        <f>SUM(G57:G62)</f>
        <v>1505916.0699999998</v>
      </c>
    </row>
    <row r="63" spans="1:11" ht="14.1" customHeight="1" x14ac:dyDescent="0.2">
      <c r="A63" s="307" t="s">
        <v>10</v>
      </c>
      <c r="B63" s="316">
        <v>1106.7</v>
      </c>
      <c r="C63" s="311">
        <v>0</v>
      </c>
      <c r="D63" s="312">
        <f t="shared" si="5"/>
        <v>1106.7</v>
      </c>
      <c r="E63" s="313">
        <f>SUM($D$57:D63)</f>
        <v>450982.43999999994</v>
      </c>
      <c r="F63" s="317">
        <f>E63/7</f>
        <v>64426.062857142846</v>
      </c>
      <c r="G63" s="318">
        <v>11514.53</v>
      </c>
      <c r="H63" s="319">
        <f>SUM(G57:G63)</f>
        <v>1517430.5999999999</v>
      </c>
    </row>
    <row r="64" spans="1:11" ht="14.1" customHeight="1" x14ac:dyDescent="0.2">
      <c r="A64" s="307" t="s">
        <v>11</v>
      </c>
      <c r="B64" s="316">
        <v>256309</v>
      </c>
      <c r="C64" s="311">
        <v>0</v>
      </c>
      <c r="D64" s="312">
        <f t="shared" si="5"/>
        <v>256309</v>
      </c>
      <c r="E64" s="313">
        <f>SUM($D$57:D64)</f>
        <v>707291.44</v>
      </c>
      <c r="F64" s="317">
        <f>E64/8</f>
        <v>88411.43</v>
      </c>
      <c r="G64" s="318">
        <v>157433.75</v>
      </c>
      <c r="H64" s="319">
        <f>SUM(G57:G64)</f>
        <v>1674864.3499999999</v>
      </c>
    </row>
    <row r="65" spans="1:12" ht="14.1" customHeight="1" x14ac:dyDescent="0.2">
      <c r="A65" s="307" t="s">
        <v>12</v>
      </c>
      <c r="B65" s="316">
        <v>0</v>
      </c>
      <c r="C65" s="311">
        <v>0</v>
      </c>
      <c r="D65" s="312">
        <f t="shared" si="5"/>
        <v>0</v>
      </c>
      <c r="E65" s="313">
        <f>SUM($D$57:D65)</f>
        <v>707291.44</v>
      </c>
      <c r="F65" s="317">
        <f>E65/9</f>
        <v>78587.93777777777</v>
      </c>
      <c r="G65" s="318">
        <v>1904.36</v>
      </c>
      <c r="H65" s="319">
        <f>SUM(G57:G65)</f>
        <v>1676768.71</v>
      </c>
    </row>
    <row r="66" spans="1:12" ht="14.1" customHeight="1" x14ac:dyDescent="0.2">
      <c r="A66" s="307" t="s">
        <v>13</v>
      </c>
      <c r="B66" s="316">
        <v>0</v>
      </c>
      <c r="C66" s="311">
        <v>0</v>
      </c>
      <c r="D66" s="312">
        <f t="shared" si="5"/>
        <v>0</v>
      </c>
      <c r="E66" s="313">
        <f>SUM($D$57:D66)</f>
        <v>707291.44</v>
      </c>
      <c r="F66" s="317">
        <f>E66/10</f>
        <v>70729.144</v>
      </c>
      <c r="G66" s="318">
        <v>26068.69</v>
      </c>
      <c r="H66" s="319">
        <f>SUM(G57:G66)</f>
        <v>1702837.4</v>
      </c>
    </row>
    <row r="67" spans="1:12" ht="14.1" customHeight="1" x14ac:dyDescent="0.2">
      <c r="A67" s="307" t="s">
        <v>14</v>
      </c>
      <c r="B67" s="316">
        <v>242781.19</v>
      </c>
      <c r="C67" s="311">
        <v>0</v>
      </c>
      <c r="D67" s="312">
        <f t="shared" si="5"/>
        <v>242781.19</v>
      </c>
      <c r="E67" s="320">
        <f>SUM($D$57:D67)</f>
        <v>950072.62999999989</v>
      </c>
      <c r="F67" s="317">
        <f>E67/11</f>
        <v>86370.239090909075</v>
      </c>
      <c r="G67" s="318">
        <v>208427.94</v>
      </c>
      <c r="H67" s="219">
        <f>SUM(G57:G67)</f>
        <v>1911265.3399999999</v>
      </c>
    </row>
    <row r="68" spans="1:12" ht="14.1" customHeight="1" x14ac:dyDescent="0.2">
      <c r="A68" s="307" t="s">
        <v>15</v>
      </c>
      <c r="B68" s="321">
        <v>1631.63</v>
      </c>
      <c r="C68" s="322">
        <v>50.87</v>
      </c>
      <c r="D68" s="323">
        <f t="shared" si="5"/>
        <v>1682.5</v>
      </c>
      <c r="E68" s="320">
        <f>SUM($D$57:D68)</f>
        <v>951755.12999999989</v>
      </c>
      <c r="F68" s="324">
        <f>E68/12</f>
        <v>79312.927499999991</v>
      </c>
      <c r="G68" s="318">
        <v>1656.26</v>
      </c>
      <c r="H68" s="228">
        <f>SUM(G57:G68)</f>
        <v>1912921.5999999999</v>
      </c>
    </row>
    <row r="69" spans="1:12" ht="45" customHeight="1" x14ac:dyDescent="0.2">
      <c r="A69" s="295" t="s">
        <v>28</v>
      </c>
      <c r="B69" s="230">
        <f>SUM(B57:B68)</f>
        <v>951704.25999999989</v>
      </c>
      <c r="C69" s="325">
        <f>SUM(C57:C68)</f>
        <v>50.87</v>
      </c>
      <c r="D69" s="326">
        <f t="shared" si="5"/>
        <v>951755.12999999989</v>
      </c>
      <c r="E69" s="327"/>
      <c r="F69" s="328"/>
      <c r="G69" s="329">
        <f>SUM(G57:G68)</f>
        <v>1912921.5999999999</v>
      </c>
    </row>
    <row r="70" spans="1:12" ht="12.95" customHeight="1" x14ac:dyDescent="0.2">
      <c r="A70" s="330"/>
      <c r="B70" s="299"/>
      <c r="F70" s="331"/>
      <c r="G70" s="228"/>
    </row>
    <row r="71" spans="1:12" ht="33" customHeight="1" x14ac:dyDescent="0.2">
      <c r="A71" s="240" t="s">
        <v>57</v>
      </c>
      <c r="B71" s="332">
        <v>500000</v>
      </c>
      <c r="C71" s="332">
        <v>1200000</v>
      </c>
      <c r="D71" s="333">
        <f>SUM(B71:C71)</f>
        <v>1700000</v>
      </c>
      <c r="F71" s="235"/>
      <c r="G71" s="334">
        <f>G69/12</f>
        <v>159410.13333333333</v>
      </c>
    </row>
    <row r="72" spans="1:12" ht="33" customHeight="1" x14ac:dyDescent="0.2">
      <c r="A72" s="335" t="s">
        <v>59</v>
      </c>
      <c r="B72" s="336">
        <v>500000</v>
      </c>
      <c r="C72" s="337">
        <v>1000000</v>
      </c>
      <c r="D72" s="333">
        <v>1500000</v>
      </c>
      <c r="F72" s="235"/>
      <c r="G72" s="249" t="s">
        <v>53</v>
      </c>
    </row>
    <row r="73" spans="1:12" ht="33" customHeight="1" x14ac:dyDescent="0.2">
      <c r="A73" s="335" t="s">
        <v>61</v>
      </c>
      <c r="B73" s="336">
        <v>500000</v>
      </c>
      <c r="C73" s="337">
        <v>0</v>
      </c>
      <c r="D73" s="333">
        <f>SUM(B73:C73)</f>
        <v>500000</v>
      </c>
      <c r="F73" s="235"/>
      <c r="G73" s="249"/>
    </row>
    <row r="74" spans="1:12" ht="33" customHeight="1" x14ac:dyDescent="0.2">
      <c r="A74" s="245" t="s">
        <v>65</v>
      </c>
      <c r="B74" s="338">
        <v>706000</v>
      </c>
      <c r="C74" s="339">
        <v>0</v>
      </c>
      <c r="D74" s="340">
        <f>SUM(B74:C74)</f>
        <v>706000</v>
      </c>
      <c r="F74" s="235"/>
      <c r="G74" s="249"/>
    </row>
    <row r="75" spans="1:12" s="344" customFormat="1" ht="24" customHeight="1" x14ac:dyDescent="0.2">
      <c r="A75" s="341" t="s">
        <v>22</v>
      </c>
      <c r="B75" s="257">
        <f>B69/B74</f>
        <v>1.3480230311614729</v>
      </c>
      <c r="C75" s="342" t="s">
        <v>62</v>
      </c>
      <c r="D75" s="259">
        <f>D69/D74</f>
        <v>1.3480950849858355</v>
      </c>
      <c r="E75" s="343"/>
      <c r="F75" s="198"/>
      <c r="H75" s="345"/>
      <c r="K75" s="198"/>
      <c r="L75" s="198"/>
    </row>
    <row r="76" spans="1:12" ht="15.75" customHeight="1" x14ac:dyDescent="0.2">
      <c r="C76" s="346"/>
      <c r="E76" s="347"/>
      <c r="F76" s="345"/>
    </row>
    <row r="77" spans="1:12" ht="24" customHeight="1" x14ac:dyDescent="0.2">
      <c r="A77" s="262" t="s">
        <v>48</v>
      </c>
      <c r="B77" s="263">
        <v>804640.07</v>
      </c>
      <c r="C77" s="264">
        <v>1108281.53</v>
      </c>
      <c r="D77" s="348">
        <f>SUM(B77:C77)</f>
        <v>1912921.6</v>
      </c>
      <c r="E77" s="347"/>
      <c r="F77" s="345"/>
    </row>
    <row r="78" spans="1:12" ht="24" customHeight="1" x14ac:dyDescent="0.2">
      <c r="C78" s="346"/>
      <c r="E78" s="347"/>
      <c r="F78" s="345"/>
    </row>
    <row r="79" spans="1:12" ht="19.5" customHeight="1" x14ac:dyDescent="0.2">
      <c r="A79" s="349" t="s">
        <v>26</v>
      </c>
      <c r="B79" s="273"/>
      <c r="C79" s="273"/>
      <c r="D79" s="267"/>
      <c r="G79" s="350"/>
    </row>
    <row r="80" spans="1:12" ht="16.5" customHeight="1" x14ac:dyDescent="0.2">
      <c r="B80" s="277" t="s">
        <v>24</v>
      </c>
      <c r="C80" s="276" t="s">
        <v>35</v>
      </c>
      <c r="D80" s="277" t="s">
        <v>20</v>
      </c>
      <c r="E80" s="278"/>
    </row>
    <row r="81" spans="1:6" ht="17.100000000000001" customHeight="1" x14ac:dyDescent="0.2">
      <c r="A81" s="239" t="s">
        <v>4</v>
      </c>
      <c r="B81" s="292">
        <f>C94*1</f>
        <v>141666.66</v>
      </c>
      <c r="C81" s="281">
        <v>60352.26</v>
      </c>
      <c r="D81" s="282">
        <f t="shared" ref="D81:D92" si="6">C81-B81</f>
        <v>-81314.399999999994</v>
      </c>
      <c r="E81" s="254" t="s">
        <v>30</v>
      </c>
    </row>
    <row r="82" spans="1:6" ht="17.100000000000001" customHeight="1" x14ac:dyDescent="0.2">
      <c r="A82" s="239" t="s">
        <v>5</v>
      </c>
      <c r="B82" s="351">
        <f>C94*2</f>
        <v>283333.32</v>
      </c>
      <c r="C82" s="286">
        <v>274096.84000000003</v>
      </c>
      <c r="D82" s="228">
        <f t="shared" si="6"/>
        <v>-9236.4799999999814</v>
      </c>
      <c r="E82" s="254" t="s">
        <v>30</v>
      </c>
    </row>
    <row r="83" spans="1:6" ht="15.95" customHeight="1" x14ac:dyDescent="0.2">
      <c r="A83" s="239" t="s">
        <v>6</v>
      </c>
      <c r="B83" s="351">
        <f>$C$95*3</f>
        <v>375000</v>
      </c>
      <c r="C83" s="286">
        <v>275287.75</v>
      </c>
      <c r="D83" s="228">
        <f t="shared" si="6"/>
        <v>-99712.25</v>
      </c>
      <c r="E83" s="254" t="s">
        <v>30</v>
      </c>
      <c r="F83" s="269"/>
    </row>
    <row r="84" spans="1:6" ht="18" customHeight="1" x14ac:dyDescent="0.2">
      <c r="A84" s="239" t="s">
        <v>7</v>
      </c>
      <c r="B84" s="351">
        <f>$C$95*4</f>
        <v>500000</v>
      </c>
      <c r="C84" s="286">
        <v>275287.75</v>
      </c>
      <c r="D84" s="228">
        <f t="shared" si="6"/>
        <v>-224712.25</v>
      </c>
      <c r="E84" s="254" t="s">
        <v>30</v>
      </c>
      <c r="F84" s="283"/>
    </row>
    <row r="85" spans="1:6" ht="15.75" customHeight="1" x14ac:dyDescent="0.2">
      <c r="A85" s="239" t="s">
        <v>8</v>
      </c>
      <c r="B85" s="351">
        <f>$C$95*5</f>
        <v>625000</v>
      </c>
      <c r="C85" s="216">
        <v>449875.74</v>
      </c>
      <c r="D85" s="228">
        <f t="shared" si="6"/>
        <v>-175124.26</v>
      </c>
      <c r="E85" s="254" t="s">
        <v>30</v>
      </c>
      <c r="F85" s="283"/>
    </row>
    <row r="86" spans="1:6" ht="15.75" customHeight="1" x14ac:dyDescent="0.2">
      <c r="A86" s="239" t="s">
        <v>9</v>
      </c>
      <c r="B86" s="351">
        <f>$C$96*6</f>
        <v>250000</v>
      </c>
      <c r="C86" s="216">
        <v>449875.74</v>
      </c>
      <c r="D86" s="228">
        <f t="shared" si="6"/>
        <v>199875.74</v>
      </c>
      <c r="E86" s="254" t="s">
        <v>64</v>
      </c>
      <c r="F86" s="283"/>
    </row>
    <row r="87" spans="1:6" ht="15.75" customHeight="1" x14ac:dyDescent="0.2">
      <c r="A87" s="239" t="s">
        <v>10</v>
      </c>
      <c r="B87" s="351">
        <f>$C$96*7</f>
        <v>291666.66666666663</v>
      </c>
      <c r="C87" s="216">
        <v>450982.44</v>
      </c>
      <c r="D87" s="228">
        <f t="shared" si="6"/>
        <v>159315.77333333337</v>
      </c>
      <c r="E87" s="254" t="s">
        <v>64</v>
      </c>
      <c r="F87" s="283"/>
    </row>
    <row r="88" spans="1:6" ht="15.75" customHeight="1" x14ac:dyDescent="0.2">
      <c r="A88" s="239" t="s">
        <v>11</v>
      </c>
      <c r="B88" s="351">
        <f>$C$96*8</f>
        <v>333333.33333333331</v>
      </c>
      <c r="C88" s="352">
        <v>707291.44</v>
      </c>
      <c r="D88" s="228">
        <f t="shared" si="6"/>
        <v>373958.10666666663</v>
      </c>
      <c r="E88" s="254" t="s">
        <v>40</v>
      </c>
      <c r="F88" s="283"/>
    </row>
    <row r="89" spans="1:6" ht="15.75" customHeight="1" x14ac:dyDescent="0.2">
      <c r="A89" s="239" t="s">
        <v>12</v>
      </c>
      <c r="B89" s="351">
        <f>$C$96*9</f>
        <v>375000</v>
      </c>
      <c r="C89" s="216">
        <v>707291.44</v>
      </c>
      <c r="D89" s="228">
        <f t="shared" si="6"/>
        <v>332291.43999999994</v>
      </c>
      <c r="E89" s="254" t="s">
        <v>40</v>
      </c>
      <c r="F89" s="269"/>
    </row>
    <row r="90" spans="1:6" ht="15.75" customHeight="1" x14ac:dyDescent="0.2">
      <c r="A90" s="239" t="s">
        <v>13</v>
      </c>
      <c r="B90" s="351">
        <f>$C$97*10</f>
        <v>588333.30000000005</v>
      </c>
      <c r="C90" s="216">
        <v>707291.44</v>
      </c>
      <c r="D90" s="228">
        <f t="shared" si="6"/>
        <v>118958.1399999999</v>
      </c>
      <c r="E90" s="254" t="s">
        <v>40</v>
      </c>
      <c r="F90" s="283"/>
    </row>
    <row r="91" spans="1:6" ht="15.75" customHeight="1" x14ac:dyDescent="0.2">
      <c r="A91" s="239" t="s">
        <v>23</v>
      </c>
      <c r="B91" s="351">
        <f>$C$97*11</f>
        <v>647166.63</v>
      </c>
      <c r="C91" s="216">
        <v>950072.63</v>
      </c>
      <c r="D91" s="228">
        <f t="shared" si="6"/>
        <v>302906</v>
      </c>
      <c r="E91" s="254" t="s">
        <v>40</v>
      </c>
      <c r="F91" s="283"/>
    </row>
    <row r="92" spans="1:6" ht="15.75" customHeight="1" x14ac:dyDescent="0.2">
      <c r="A92" s="239" t="s">
        <v>15</v>
      </c>
      <c r="B92" s="351">
        <f>$C$97*12</f>
        <v>705999.96</v>
      </c>
      <c r="C92" s="216">
        <v>951755.13</v>
      </c>
      <c r="D92" s="228">
        <f t="shared" si="6"/>
        <v>245755.17000000004</v>
      </c>
      <c r="E92" s="254" t="s">
        <v>40</v>
      </c>
      <c r="F92" s="283"/>
    </row>
    <row r="93" spans="1:6" ht="15.75" customHeight="1" x14ac:dyDescent="0.2">
      <c r="B93" s="353" t="s">
        <v>25</v>
      </c>
      <c r="C93" s="293">
        <v>1700000</v>
      </c>
      <c r="D93" s="294"/>
      <c r="E93" s="294"/>
      <c r="F93" s="283"/>
    </row>
    <row r="94" spans="1:6" ht="44.25" customHeight="1" x14ac:dyDescent="0.2">
      <c r="B94" s="354" t="s">
        <v>37</v>
      </c>
      <c r="C94" s="293">
        <v>141666.66</v>
      </c>
      <c r="E94" s="294"/>
      <c r="F94" s="283"/>
    </row>
    <row r="95" spans="1:6" ht="44.25" hidden="1" customHeight="1" x14ac:dyDescent="0.2">
      <c r="A95" s="385" t="s">
        <v>60</v>
      </c>
      <c r="B95" s="385"/>
      <c r="C95" s="355">
        <f>D72/12</f>
        <v>125000</v>
      </c>
      <c r="D95" s="297"/>
      <c r="E95" s="294"/>
      <c r="F95" s="283"/>
    </row>
    <row r="96" spans="1:6" ht="44.25" hidden="1" customHeight="1" x14ac:dyDescent="0.2">
      <c r="A96" s="385" t="s">
        <v>63</v>
      </c>
      <c r="B96" s="385"/>
      <c r="C96" s="293">
        <f>D73/12</f>
        <v>41666.666666666664</v>
      </c>
      <c r="D96" s="297"/>
      <c r="E96" s="294"/>
      <c r="F96" s="283"/>
    </row>
    <row r="97" spans="1:6" ht="44.25" customHeight="1" x14ac:dyDescent="0.2">
      <c r="A97" s="385" t="s">
        <v>66</v>
      </c>
      <c r="B97" s="385"/>
      <c r="C97" s="300">
        <v>58833.33</v>
      </c>
      <c r="D97" s="297"/>
      <c r="E97" s="294"/>
      <c r="F97" s="283"/>
    </row>
    <row r="98" spans="1:6" ht="15.75" customHeight="1" x14ac:dyDescent="0.2">
      <c r="A98" s="301" t="s">
        <v>36</v>
      </c>
      <c r="B98" s="302"/>
      <c r="C98" s="302"/>
      <c r="D98" s="267"/>
      <c r="F98" s="283"/>
    </row>
    <row r="99" spans="1:6" ht="15.75" customHeight="1" x14ac:dyDescent="0.2">
      <c r="F99" s="283"/>
    </row>
    <row r="100" spans="1:6" x14ac:dyDescent="0.2">
      <c r="A100" s="356"/>
      <c r="B100" s="225"/>
      <c r="C100" s="267"/>
    </row>
    <row r="101" spans="1:6" x14ac:dyDescent="0.2">
      <c r="A101" s="356"/>
      <c r="B101" s="225"/>
      <c r="C101" s="267"/>
    </row>
  </sheetData>
  <mergeCells count="19">
    <mergeCell ref="M5:M6"/>
    <mergeCell ref="B4:K4"/>
    <mergeCell ref="I5:I6"/>
    <mergeCell ref="J5:J6"/>
    <mergeCell ref="K5:K6"/>
    <mergeCell ref="L5:L6"/>
    <mergeCell ref="A44:B44"/>
    <mergeCell ref="A45:B45"/>
    <mergeCell ref="A46:B46"/>
    <mergeCell ref="A47:B47"/>
    <mergeCell ref="B54:F54"/>
    <mergeCell ref="G55:G56"/>
    <mergeCell ref="H55:H56"/>
    <mergeCell ref="A95:B95"/>
    <mergeCell ref="A96:B96"/>
    <mergeCell ref="A97:B97"/>
    <mergeCell ref="D55:D56"/>
    <mergeCell ref="E55:E56"/>
    <mergeCell ref="F55:F56"/>
  </mergeCells>
  <pageMargins left="0.7" right="0.7" top="0.75" bottom="0.75" header="0.3" footer="0.3"/>
  <pageSetup paperSize="9" scale="57" fitToWidth="0" fitToHeight="2" orientation="landscape" r:id="rId1"/>
  <headerFooter alignWithMargins="0">
    <oddFooter>&amp;LPetra Friedlová&amp;Cstránka &amp;P&amp;R&amp;D</oddFooter>
  </headerFooter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BD30-D825-4A71-9A1B-58F60C69B486}">
  <sheetPr>
    <tabColor theme="4" tint="0.39997558519241921"/>
  </sheetPr>
  <dimension ref="A1:I19"/>
  <sheetViews>
    <sheetView workbookViewId="0">
      <selection activeCell="C39" sqref="C39"/>
    </sheetView>
  </sheetViews>
  <sheetFormatPr defaultRowHeight="12.75" x14ac:dyDescent="0.2"/>
  <cols>
    <col min="1" max="9" width="16.7109375" customWidth="1"/>
  </cols>
  <sheetData>
    <row r="1" spans="1:9" ht="15.75" x14ac:dyDescent="0.2">
      <c r="A1" s="5" t="s">
        <v>58</v>
      </c>
      <c r="B1" s="6"/>
      <c r="C1" s="6"/>
      <c r="D1" s="6"/>
      <c r="E1" s="6"/>
      <c r="F1" s="6"/>
      <c r="G1" s="6"/>
      <c r="H1" s="85"/>
      <c r="I1" s="85"/>
    </row>
    <row r="2" spans="1:9" x14ac:dyDescent="0.2">
      <c r="A2" s="8"/>
      <c r="B2" s="85"/>
      <c r="C2" s="85"/>
      <c r="D2" s="85"/>
      <c r="E2" s="85"/>
      <c r="F2" s="85"/>
      <c r="G2" s="85"/>
      <c r="H2" s="85"/>
      <c r="I2" s="85"/>
    </row>
    <row r="3" spans="1:9" x14ac:dyDescent="0.2">
      <c r="A3" s="85"/>
      <c r="B3" s="6"/>
      <c r="C3" s="6"/>
      <c r="D3" s="6"/>
      <c r="E3" s="106"/>
      <c r="F3" s="6"/>
      <c r="G3" s="6"/>
      <c r="H3" s="106"/>
      <c r="I3" s="85"/>
    </row>
    <row r="4" spans="1:9" x14ac:dyDescent="0.2">
      <c r="A4" s="85" t="s">
        <v>17</v>
      </c>
      <c r="B4" s="371">
        <v>2020</v>
      </c>
      <c r="C4" s="372"/>
      <c r="D4" s="372"/>
      <c r="E4" s="372"/>
      <c r="F4" s="372"/>
      <c r="G4" s="372"/>
      <c r="H4" s="372"/>
      <c r="I4" s="372"/>
    </row>
    <row r="5" spans="1:9" ht="25.5" x14ac:dyDescent="0.2">
      <c r="A5" s="9" t="s">
        <v>19</v>
      </c>
      <c r="B5" s="10" t="s">
        <v>32</v>
      </c>
      <c r="C5" s="11" t="s">
        <v>33</v>
      </c>
      <c r="D5" s="11" t="s">
        <v>34</v>
      </c>
      <c r="E5" s="11" t="s">
        <v>1</v>
      </c>
      <c r="F5" s="11" t="s">
        <v>16</v>
      </c>
      <c r="G5" s="11" t="s">
        <v>2</v>
      </c>
      <c r="H5" s="12" t="s">
        <v>3</v>
      </c>
      <c r="I5" s="363" t="s">
        <v>29</v>
      </c>
    </row>
    <row r="6" spans="1:9" x14ac:dyDescent="0.2">
      <c r="A6" s="13" t="s">
        <v>0</v>
      </c>
      <c r="B6" s="14">
        <v>1111</v>
      </c>
      <c r="C6" s="15">
        <v>1112</v>
      </c>
      <c r="D6" s="15">
        <v>1113</v>
      </c>
      <c r="E6" s="15">
        <v>1121</v>
      </c>
      <c r="F6" s="15">
        <v>1122</v>
      </c>
      <c r="G6" s="15">
        <v>1211</v>
      </c>
      <c r="H6" s="16">
        <v>1511</v>
      </c>
      <c r="I6" s="364"/>
    </row>
    <row r="7" spans="1:9" x14ac:dyDescent="0.2">
      <c r="A7" s="12" t="s">
        <v>4</v>
      </c>
      <c r="B7" s="128">
        <v>2962710.98</v>
      </c>
      <c r="C7" s="129">
        <v>54200.89</v>
      </c>
      <c r="D7" s="129">
        <v>224722.92</v>
      </c>
      <c r="E7" s="129">
        <v>559031.43000000005</v>
      </c>
      <c r="F7" s="130"/>
      <c r="G7" s="131">
        <v>5252142.5</v>
      </c>
      <c r="H7" s="132">
        <v>0</v>
      </c>
      <c r="I7" s="111">
        <f t="shared" ref="I7:I18" si="0">SUM(B7:H7)</f>
        <v>9052808.7200000007</v>
      </c>
    </row>
    <row r="8" spans="1:9" x14ac:dyDescent="0.2">
      <c r="A8" s="12" t="s">
        <v>5</v>
      </c>
      <c r="B8" s="133">
        <v>2738982.34</v>
      </c>
      <c r="C8" s="134">
        <v>37423.300000000003</v>
      </c>
      <c r="D8" s="134">
        <v>263800.42</v>
      </c>
      <c r="E8" s="134">
        <v>223575.15</v>
      </c>
      <c r="F8" s="108"/>
      <c r="G8" s="104">
        <v>6469795.5300000003</v>
      </c>
      <c r="H8" s="109">
        <v>9648.75</v>
      </c>
      <c r="I8" s="111">
        <f t="shared" si="0"/>
        <v>9743225.4900000002</v>
      </c>
    </row>
    <row r="9" spans="1:9" x14ac:dyDescent="0.2">
      <c r="A9" s="12" t="s">
        <v>6</v>
      </c>
      <c r="B9" s="133">
        <v>2521583.8199999998</v>
      </c>
      <c r="C9" s="134">
        <v>112197.22</v>
      </c>
      <c r="D9" s="134">
        <v>181767.86</v>
      </c>
      <c r="E9" s="134">
        <v>4678361.4800000004</v>
      </c>
      <c r="F9" s="108"/>
      <c r="G9" s="104">
        <v>3369082.48</v>
      </c>
      <c r="H9" s="149">
        <v>6981.57</v>
      </c>
      <c r="I9" s="111">
        <f t="shared" si="0"/>
        <v>10869974.430000002</v>
      </c>
    </row>
    <row r="10" spans="1:9" x14ac:dyDescent="0.2">
      <c r="A10" s="12" t="s">
        <v>7</v>
      </c>
      <c r="B10" s="133">
        <v>2089658.8</v>
      </c>
      <c r="C10" s="134">
        <v>0</v>
      </c>
      <c r="D10" s="134">
        <v>174831.44</v>
      </c>
      <c r="E10" s="134">
        <v>812017.32</v>
      </c>
      <c r="F10" s="108"/>
      <c r="G10" s="104">
        <v>3372276.48</v>
      </c>
      <c r="H10" s="109">
        <v>0</v>
      </c>
      <c r="I10" s="111">
        <f t="shared" si="0"/>
        <v>6448784.04</v>
      </c>
    </row>
    <row r="11" spans="1:9" x14ac:dyDescent="0.2">
      <c r="A11" s="12" t="s">
        <v>8</v>
      </c>
      <c r="B11" s="133">
        <v>523657.27</v>
      </c>
      <c r="C11" s="134">
        <v>0</v>
      </c>
      <c r="D11" s="134">
        <v>195222.97</v>
      </c>
      <c r="E11" s="134">
        <v>0</v>
      </c>
      <c r="F11" s="108"/>
      <c r="G11" s="104">
        <v>4859277.78</v>
      </c>
      <c r="H11" s="109">
        <v>0</v>
      </c>
      <c r="I11" s="111">
        <f t="shared" si="0"/>
        <v>5578158.0200000005</v>
      </c>
    </row>
    <row r="12" spans="1:9" x14ac:dyDescent="0.2">
      <c r="A12" s="12" t="s">
        <v>9</v>
      </c>
      <c r="B12" s="133">
        <v>1801679.18</v>
      </c>
      <c r="C12" s="134">
        <v>0</v>
      </c>
      <c r="D12" s="134">
        <v>224303.94</v>
      </c>
      <c r="E12" s="134">
        <v>1959492.22</v>
      </c>
      <c r="F12" s="108"/>
      <c r="G12" s="104">
        <v>3191430.85</v>
      </c>
      <c r="H12" s="109">
        <v>2767291.42</v>
      </c>
      <c r="I12" s="111">
        <f t="shared" si="0"/>
        <v>9944197.6099999994</v>
      </c>
    </row>
    <row r="13" spans="1:9" x14ac:dyDescent="0.2">
      <c r="A13" s="12" t="s">
        <v>10</v>
      </c>
      <c r="B13" s="133">
        <v>2639253.23</v>
      </c>
      <c r="C13" s="134">
        <v>0</v>
      </c>
      <c r="D13" s="134">
        <v>263553.65999999997</v>
      </c>
      <c r="E13" s="134">
        <v>3593144.87</v>
      </c>
      <c r="F13" s="134"/>
      <c r="G13" s="135">
        <v>4564190.4400000004</v>
      </c>
      <c r="H13" s="109">
        <v>44883.49</v>
      </c>
      <c r="I13" s="111">
        <f t="shared" si="0"/>
        <v>11105025.689999999</v>
      </c>
    </row>
    <row r="14" spans="1:9" x14ac:dyDescent="0.2">
      <c r="A14" s="12" t="s">
        <v>11</v>
      </c>
      <c r="B14" s="133">
        <v>2736308.55</v>
      </c>
      <c r="C14" s="134">
        <v>0</v>
      </c>
      <c r="D14" s="134">
        <v>263788.33</v>
      </c>
      <c r="E14" s="134">
        <v>0</v>
      </c>
      <c r="F14" s="108">
        <v>3578460</v>
      </c>
      <c r="G14" s="104">
        <v>6249409.1500000004</v>
      </c>
      <c r="H14" s="109">
        <v>45080.95</v>
      </c>
      <c r="I14" s="111">
        <f t="shared" si="0"/>
        <v>12873046.98</v>
      </c>
    </row>
    <row r="15" spans="1:9" x14ac:dyDescent="0.2">
      <c r="A15" s="12" t="s">
        <v>12</v>
      </c>
      <c r="B15" s="133">
        <v>2702570.31</v>
      </c>
      <c r="C15" s="134">
        <v>0</v>
      </c>
      <c r="D15" s="134">
        <v>310205.65000000002</v>
      </c>
      <c r="E15" s="134">
        <v>3967864.91</v>
      </c>
      <c r="F15" s="108"/>
      <c r="G15" s="104">
        <v>4552347.4800000004</v>
      </c>
      <c r="H15" s="109">
        <v>43798.93</v>
      </c>
      <c r="I15" s="111">
        <f t="shared" si="0"/>
        <v>11576787.280000001</v>
      </c>
    </row>
    <row r="16" spans="1:9" x14ac:dyDescent="0.2">
      <c r="A16" s="12" t="s">
        <v>13</v>
      </c>
      <c r="B16" s="133">
        <v>2791487.08</v>
      </c>
      <c r="C16" s="134">
        <v>23084.85</v>
      </c>
      <c r="D16" s="134">
        <v>260836.93</v>
      </c>
      <c r="E16" s="134">
        <v>916227.96</v>
      </c>
      <c r="F16" s="108"/>
      <c r="G16" s="104">
        <v>4626008.59</v>
      </c>
      <c r="H16" s="109">
        <v>39236.04</v>
      </c>
      <c r="I16" s="111">
        <f t="shared" si="0"/>
        <v>8656881.4499999993</v>
      </c>
    </row>
    <row r="17" spans="1:9" x14ac:dyDescent="0.2">
      <c r="A17" s="12" t="s">
        <v>14</v>
      </c>
      <c r="B17" s="133">
        <v>2757171.88</v>
      </c>
      <c r="C17" s="134">
        <v>22544.44</v>
      </c>
      <c r="D17" s="134">
        <v>245425.96</v>
      </c>
      <c r="E17" s="134">
        <v>226462.69</v>
      </c>
      <c r="F17" s="108"/>
      <c r="G17" s="104">
        <v>6621002.2300000004</v>
      </c>
      <c r="H17" s="109">
        <v>20446.59</v>
      </c>
      <c r="I17" s="111">
        <f t="shared" si="0"/>
        <v>9893053.7899999991</v>
      </c>
    </row>
    <row r="18" spans="1:9" ht="13.5" thickBot="1" x14ac:dyDescent="0.25">
      <c r="A18" s="12" t="s">
        <v>15</v>
      </c>
      <c r="B18" s="133">
        <v>3218310.47</v>
      </c>
      <c r="C18" s="134">
        <v>216617</v>
      </c>
      <c r="D18" s="134">
        <v>235297.61</v>
      </c>
      <c r="E18" s="134">
        <v>4349236.3</v>
      </c>
      <c r="F18" s="108"/>
      <c r="G18" s="104">
        <v>5248774.17</v>
      </c>
      <c r="H18" s="109">
        <v>632252.93999999994</v>
      </c>
      <c r="I18" s="110">
        <f t="shared" si="0"/>
        <v>13900488.49</v>
      </c>
    </row>
    <row r="19" spans="1:9" ht="30.75" thickBot="1" x14ac:dyDescent="0.25">
      <c r="A19" s="31" t="s">
        <v>28</v>
      </c>
      <c r="B19" s="32">
        <f>SUM(B7:B18)</f>
        <v>29483373.91</v>
      </c>
      <c r="C19" s="32">
        <f t="shared" ref="C19:H19" si="1">SUM(C7:C18)</f>
        <v>466067.7</v>
      </c>
      <c r="D19" s="32">
        <f t="shared" si="1"/>
        <v>2843757.69</v>
      </c>
      <c r="E19" s="32">
        <f t="shared" si="1"/>
        <v>21285414.330000002</v>
      </c>
      <c r="F19" s="32">
        <f t="shared" si="1"/>
        <v>3578460</v>
      </c>
      <c r="G19" s="32">
        <f t="shared" si="1"/>
        <v>58375737.680000022</v>
      </c>
      <c r="H19" s="32">
        <f t="shared" si="1"/>
        <v>3609620.68</v>
      </c>
      <c r="I19" s="33">
        <f>SUM(I7:I18)</f>
        <v>119642431.98999999</v>
      </c>
    </row>
  </sheetData>
  <mergeCells count="2">
    <mergeCell ref="I5:I6"/>
    <mergeCell ref="B4:I4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I27"/>
  <sheetViews>
    <sheetView zoomScale="110" zoomScaleNormal="110" workbookViewId="0">
      <selection activeCell="H12" sqref="H12"/>
    </sheetView>
  </sheetViews>
  <sheetFormatPr defaultRowHeight="12.75" x14ac:dyDescent="0.2"/>
  <cols>
    <col min="1" max="1" width="12.7109375" style="4" customWidth="1"/>
    <col min="2" max="8" width="14.7109375" style="4" customWidth="1"/>
    <col min="9" max="9" width="16.140625" style="4" customWidth="1"/>
    <col min="10" max="16384" width="9.140625" style="4"/>
  </cols>
  <sheetData>
    <row r="1" spans="1:9" s="1" customFormat="1" ht="14.25" customHeight="1" x14ac:dyDescent="0.2">
      <c r="A1" s="5" t="s">
        <v>46</v>
      </c>
      <c r="B1" s="6"/>
      <c r="C1" s="6"/>
      <c r="D1" s="6"/>
      <c r="E1" s="6"/>
      <c r="F1" s="6"/>
      <c r="G1" s="6"/>
      <c r="H1" s="85"/>
      <c r="I1" s="85"/>
    </row>
    <row r="2" spans="1:9" s="1" customFormat="1" ht="14.25" customHeight="1" x14ac:dyDescent="0.2">
      <c r="A2" s="8"/>
      <c r="B2" s="85"/>
      <c r="C2" s="85"/>
      <c r="D2" s="85"/>
      <c r="E2" s="85"/>
      <c r="F2" s="85"/>
      <c r="G2" s="85"/>
      <c r="H2" s="85"/>
      <c r="I2" s="85"/>
    </row>
    <row r="3" spans="1:9" s="1" customFormat="1" ht="14.25" customHeight="1" x14ac:dyDescent="0.2">
      <c r="A3" s="85"/>
      <c r="B3" s="6"/>
      <c r="C3" s="6"/>
      <c r="D3" s="6"/>
      <c r="E3" s="106"/>
      <c r="F3" s="6"/>
      <c r="G3" s="6"/>
      <c r="H3" s="106"/>
      <c r="I3" s="85"/>
    </row>
    <row r="4" spans="1:9" s="1" customFormat="1" ht="14.25" customHeight="1" x14ac:dyDescent="0.2">
      <c r="A4" s="85" t="s">
        <v>17</v>
      </c>
      <c r="B4" s="371">
        <v>2019</v>
      </c>
      <c r="C4" s="372"/>
      <c r="D4" s="372"/>
      <c r="E4" s="372"/>
      <c r="F4" s="372"/>
      <c r="G4" s="372"/>
      <c r="H4" s="372"/>
      <c r="I4" s="373"/>
    </row>
    <row r="5" spans="1:9" s="1" customFormat="1" ht="47.25" customHeight="1" x14ac:dyDescent="0.2">
      <c r="A5" s="9" t="s">
        <v>19</v>
      </c>
      <c r="B5" s="10" t="s">
        <v>32</v>
      </c>
      <c r="C5" s="11" t="s">
        <v>33</v>
      </c>
      <c r="D5" s="11" t="s">
        <v>34</v>
      </c>
      <c r="E5" s="11" t="s">
        <v>1</v>
      </c>
      <c r="F5" s="11" t="s">
        <v>16</v>
      </c>
      <c r="G5" s="11" t="s">
        <v>2</v>
      </c>
      <c r="H5" s="12" t="s">
        <v>3</v>
      </c>
      <c r="I5" s="363" t="s">
        <v>29</v>
      </c>
    </row>
    <row r="6" spans="1:9" s="1" customFormat="1" ht="25.5" customHeight="1" x14ac:dyDescent="0.2">
      <c r="A6" s="13" t="s">
        <v>0</v>
      </c>
      <c r="B6" s="14">
        <v>1111</v>
      </c>
      <c r="C6" s="15">
        <v>1112</v>
      </c>
      <c r="D6" s="15">
        <v>1113</v>
      </c>
      <c r="E6" s="15">
        <v>1121</v>
      </c>
      <c r="F6" s="15">
        <v>1122</v>
      </c>
      <c r="G6" s="15">
        <v>1211</v>
      </c>
      <c r="H6" s="16">
        <v>1511</v>
      </c>
      <c r="I6" s="364"/>
    </row>
    <row r="7" spans="1:9" s="1" customFormat="1" x14ac:dyDescent="0.2">
      <c r="A7" s="12" t="s">
        <v>4</v>
      </c>
      <c r="B7" s="128">
        <v>2785139.47</v>
      </c>
      <c r="C7" s="129">
        <v>73550.149999999994</v>
      </c>
      <c r="D7" s="129">
        <v>210556.82</v>
      </c>
      <c r="E7" s="129">
        <v>1637697.3</v>
      </c>
      <c r="F7" s="130"/>
      <c r="G7" s="131">
        <v>5106371.01</v>
      </c>
      <c r="H7" s="132">
        <v>28574.55</v>
      </c>
      <c r="I7" s="111">
        <f>SUM(B7:H7)</f>
        <v>9841889.3000000007</v>
      </c>
    </row>
    <row r="8" spans="1:9" s="1" customFormat="1" x14ac:dyDescent="0.2">
      <c r="A8" s="12" t="s">
        <v>5</v>
      </c>
      <c r="B8" s="133">
        <v>2620978.83</v>
      </c>
      <c r="C8" s="134">
        <v>39450.769999999997</v>
      </c>
      <c r="D8" s="134">
        <v>242253.59</v>
      </c>
      <c r="E8" s="134">
        <v>155089.5</v>
      </c>
      <c r="F8" s="108"/>
      <c r="G8" s="104">
        <v>6034716.8700000001</v>
      </c>
      <c r="H8" s="109">
        <v>12492.94</v>
      </c>
      <c r="I8" s="111">
        <f t="shared" ref="I8:I18" si="0">SUM(B8:H8)</f>
        <v>9104982.5</v>
      </c>
    </row>
    <row r="9" spans="1:9" s="1" customFormat="1" x14ac:dyDescent="0.2">
      <c r="A9" s="12" t="s">
        <v>6</v>
      </c>
      <c r="B9" s="133">
        <v>2213660.2000000002</v>
      </c>
      <c r="C9" s="134">
        <v>85040.62</v>
      </c>
      <c r="D9" s="134">
        <v>150277.01</v>
      </c>
      <c r="E9" s="134">
        <v>4420566.0199999996</v>
      </c>
      <c r="F9" s="108"/>
      <c r="G9" s="104">
        <v>2779600.07</v>
      </c>
      <c r="H9" s="109">
        <v>7872.58</v>
      </c>
      <c r="I9" s="111">
        <f t="shared" si="0"/>
        <v>9657016.5</v>
      </c>
    </row>
    <row r="10" spans="1:9" s="1" customFormat="1" x14ac:dyDescent="0.2">
      <c r="A10" s="12" t="s">
        <v>7</v>
      </c>
      <c r="B10" s="133">
        <v>2016788.69</v>
      </c>
      <c r="C10" s="134">
        <v>0</v>
      </c>
      <c r="D10" s="134">
        <v>176795.84</v>
      </c>
      <c r="E10" s="134">
        <v>1441488.78</v>
      </c>
      <c r="F10" s="108"/>
      <c r="G10" s="104">
        <v>3684564.18</v>
      </c>
      <c r="H10" s="109">
        <v>6133.95</v>
      </c>
      <c r="I10" s="111">
        <f t="shared" si="0"/>
        <v>7325771.4400000004</v>
      </c>
    </row>
    <row r="11" spans="1:9" s="1" customFormat="1" x14ac:dyDescent="0.2">
      <c r="A11" s="12" t="s">
        <v>8</v>
      </c>
      <c r="B11" s="133">
        <v>2465614.35</v>
      </c>
      <c r="C11" s="134">
        <v>0</v>
      </c>
      <c r="D11" s="134">
        <v>204599.41</v>
      </c>
      <c r="E11" s="134">
        <v>103660.09</v>
      </c>
      <c r="F11" s="108"/>
      <c r="G11" s="104">
        <v>5998392.7199999997</v>
      </c>
      <c r="H11" s="109">
        <v>0</v>
      </c>
      <c r="I11" s="111">
        <f t="shared" si="0"/>
        <v>8772266.5700000003</v>
      </c>
    </row>
    <row r="12" spans="1:9" s="1" customFormat="1" x14ac:dyDescent="0.2">
      <c r="A12" s="12" t="s">
        <v>9</v>
      </c>
      <c r="B12" s="133">
        <v>2722925.55</v>
      </c>
      <c r="C12" s="134">
        <v>0</v>
      </c>
      <c r="D12" s="134">
        <v>241777.56</v>
      </c>
      <c r="E12" s="134">
        <v>3730131.77</v>
      </c>
      <c r="F12" s="108"/>
      <c r="G12" s="104">
        <v>4378618.8</v>
      </c>
      <c r="H12" s="109">
        <v>2965164.66</v>
      </c>
      <c r="I12" s="111">
        <f t="shared" si="0"/>
        <v>14038618.34</v>
      </c>
    </row>
    <row r="13" spans="1:9" s="1" customFormat="1" x14ac:dyDescent="0.2">
      <c r="A13" s="12" t="s">
        <v>10</v>
      </c>
      <c r="B13" s="133">
        <v>2809618.6</v>
      </c>
      <c r="C13" s="134">
        <v>167071.4</v>
      </c>
      <c r="D13" s="134">
        <v>305581.78000000003</v>
      </c>
      <c r="E13" s="134">
        <v>5476412.4800000004</v>
      </c>
      <c r="F13" s="134"/>
      <c r="G13" s="135">
        <v>4790309.29</v>
      </c>
      <c r="H13" s="109">
        <v>143701.73000000001</v>
      </c>
      <c r="I13" s="111">
        <f t="shared" si="0"/>
        <v>13692695.280000001</v>
      </c>
    </row>
    <row r="14" spans="1:9" s="1" customFormat="1" x14ac:dyDescent="0.2">
      <c r="A14" s="12" t="s">
        <v>11</v>
      </c>
      <c r="B14" s="133">
        <v>2762672.57</v>
      </c>
      <c r="C14" s="134">
        <v>0</v>
      </c>
      <c r="D14" s="134">
        <v>284490.13</v>
      </c>
      <c r="E14" s="134">
        <v>0</v>
      </c>
      <c r="F14" s="108">
        <v>562210</v>
      </c>
      <c r="G14" s="104">
        <v>5994646.1100000003</v>
      </c>
      <c r="H14" s="109">
        <v>0</v>
      </c>
      <c r="I14" s="111">
        <f t="shared" si="0"/>
        <v>9604018.8100000005</v>
      </c>
    </row>
    <row r="15" spans="1:9" s="1" customFormat="1" x14ac:dyDescent="0.2">
      <c r="A15" s="12" t="s">
        <v>12</v>
      </c>
      <c r="B15" s="133">
        <v>2378186.04</v>
      </c>
      <c r="C15" s="134">
        <v>106461.13</v>
      </c>
      <c r="D15" s="134">
        <v>283796.78999999998</v>
      </c>
      <c r="E15" s="134">
        <v>2490657.6</v>
      </c>
      <c r="F15" s="108"/>
      <c r="G15" s="104">
        <v>4031142.81</v>
      </c>
      <c r="H15" s="109">
        <v>12971.95</v>
      </c>
      <c r="I15" s="111">
        <f t="shared" si="0"/>
        <v>9303216.3200000003</v>
      </c>
    </row>
    <row r="16" spans="1:9" s="1" customFormat="1" x14ac:dyDescent="0.2">
      <c r="A16" s="12" t="s">
        <v>13</v>
      </c>
      <c r="B16" s="133">
        <v>2668659.37</v>
      </c>
      <c r="C16" s="134">
        <v>75433.100000000006</v>
      </c>
      <c r="D16" s="134">
        <v>268829.87</v>
      </c>
      <c r="E16" s="134">
        <v>2235510.62</v>
      </c>
      <c r="F16" s="108"/>
      <c r="G16" s="104">
        <v>4400002.55</v>
      </c>
      <c r="H16" s="109">
        <v>54684.65</v>
      </c>
      <c r="I16" s="111">
        <f t="shared" si="0"/>
        <v>9703120.160000002</v>
      </c>
    </row>
    <row r="17" spans="1:9" s="1" customFormat="1" x14ac:dyDescent="0.2">
      <c r="A17" s="12" t="s">
        <v>14</v>
      </c>
      <c r="B17" s="133">
        <v>2720141.21</v>
      </c>
      <c r="C17" s="134">
        <v>33549.589999999997</v>
      </c>
      <c r="D17" s="134">
        <v>233075.32</v>
      </c>
      <c r="E17" s="134">
        <v>92664.73</v>
      </c>
      <c r="F17" s="108"/>
      <c r="G17" s="104">
        <v>6563125.0199999996</v>
      </c>
      <c r="H17" s="109">
        <v>18646.990000000002</v>
      </c>
      <c r="I17" s="111">
        <f t="shared" si="0"/>
        <v>9661202.8599999994</v>
      </c>
    </row>
    <row r="18" spans="1:9" s="1" customFormat="1" ht="26.25" customHeight="1" thickBot="1" x14ac:dyDescent="0.25">
      <c r="A18" s="12" t="s">
        <v>15</v>
      </c>
      <c r="B18" s="133">
        <v>3120945.33</v>
      </c>
      <c r="C18" s="134">
        <v>254828.15</v>
      </c>
      <c r="D18" s="134">
        <v>215520.45</v>
      </c>
      <c r="E18" s="134">
        <v>4459686.82</v>
      </c>
      <c r="F18" s="108"/>
      <c r="G18" s="104">
        <v>5317639.09</v>
      </c>
      <c r="H18" s="109">
        <v>473355.87</v>
      </c>
      <c r="I18" s="110">
        <f t="shared" si="0"/>
        <v>13841975.709999999</v>
      </c>
    </row>
    <row r="19" spans="1:9" s="1" customFormat="1" ht="45.75" thickBot="1" x14ac:dyDescent="0.25">
      <c r="A19" s="31" t="s">
        <v>28</v>
      </c>
      <c r="B19" s="32">
        <f>SUM(B7:B18)</f>
        <v>31285330.210000001</v>
      </c>
      <c r="C19" s="32">
        <f t="shared" ref="C19:H19" si="1">SUM(C7:C18)</f>
        <v>835384.90999999992</v>
      </c>
      <c r="D19" s="32">
        <f t="shared" si="1"/>
        <v>2817554.5700000003</v>
      </c>
      <c r="E19" s="32">
        <f t="shared" si="1"/>
        <v>26243565.710000001</v>
      </c>
      <c r="F19" s="32">
        <f t="shared" si="1"/>
        <v>562210</v>
      </c>
      <c r="G19" s="32">
        <f t="shared" si="1"/>
        <v>59079128.519999996</v>
      </c>
      <c r="H19" s="32">
        <f t="shared" si="1"/>
        <v>3723599.8700000006</v>
      </c>
      <c r="I19" s="33">
        <f>SUM(I7:I18)</f>
        <v>124546773.78999999</v>
      </c>
    </row>
    <row r="20" spans="1:9" s="1" customFormat="1" x14ac:dyDescent="0.2">
      <c r="F20" s="3"/>
    </row>
    <row r="21" spans="1:9" s="1" customFormat="1" x14ac:dyDescent="0.2">
      <c r="F21" s="3"/>
    </row>
    <row r="22" spans="1:9" s="1" customFormat="1" ht="24.75" customHeight="1" x14ac:dyDescent="0.2">
      <c r="F22" s="3"/>
    </row>
    <row r="23" spans="1:9" s="1" customFormat="1" x14ac:dyDescent="0.2">
      <c r="F23" s="3"/>
    </row>
    <row r="24" spans="1:9" s="1" customFormat="1" ht="26.25" customHeight="1" x14ac:dyDescent="0.2">
      <c r="F24" s="3"/>
    </row>
    <row r="25" spans="1:9" s="1" customFormat="1" x14ac:dyDescent="0.2">
      <c r="F25" s="2"/>
    </row>
    <row r="26" spans="1:9" s="1" customFormat="1" x14ac:dyDescent="0.2">
      <c r="F26" s="2"/>
    </row>
    <row r="27" spans="1:9" s="1" customFormat="1" x14ac:dyDescent="0.2">
      <c r="F27" s="2"/>
    </row>
  </sheetData>
  <mergeCells count="2">
    <mergeCell ref="B4:I4"/>
    <mergeCell ref="I5:I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daň. příjmy 2022</vt:lpstr>
      <vt:lpstr>daň. příjmy 2021</vt:lpstr>
      <vt:lpstr>daň. příjmy 2020</vt:lpstr>
      <vt:lpstr>daň. příjmy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cp:keywords/>
  <dc:description/>
  <cp:lastModifiedBy>Petra Friedlová</cp:lastModifiedBy>
  <cp:revision>0</cp:revision>
  <cp:lastPrinted>2022-03-30T10:52:58Z</cp:lastPrinted>
  <dcterms:created xsi:type="dcterms:W3CDTF">1601-01-01T00:00:00Z</dcterms:created>
  <dcterms:modified xsi:type="dcterms:W3CDTF">2022-07-29T12:35:59Z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-143135302</vt:i4>
  </property>
  <property fmtid="{D5CDD505-2E9C-101B-9397-08002B2CF9AE}" pid="3" name="_EmailSubject">
    <vt:lpwstr/>
  </property>
  <property fmtid="{D5CDD505-2E9C-101B-9397-08002B2CF9AE}" pid="4" name="_AuthorEmail">
    <vt:lpwstr>nevludova@pribor-mesto.cz</vt:lpwstr>
  </property>
  <property fmtid="{D5CDD505-2E9C-101B-9397-08002B2CF9AE}" pid="5" name="_AuthorEmailDisplayName">
    <vt:lpwstr>Barbora Nevludová</vt:lpwstr>
  </property>
  <property fmtid="{D5CDD505-2E9C-101B-9397-08002B2CF9AE}" pid="6" name="_ReviewingToolsShownOnce">
    <vt:lpwstr/>
  </property>
</Properties>
</file>