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O:\2025\Daňové příjmy\Plnění daní\"/>
    </mc:Choice>
  </mc:AlternateContent>
  <xr:revisionPtr revIDLastSave="0" documentId="13_ncr:1_{7650E969-8B80-476E-B9C3-B7445A5AF4FD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daň.příjmy 2025" sheetId="6" r:id="rId1"/>
    <sheet name="daň. příjmy 2024" sheetId="15" r:id="rId2"/>
    <sheet name="daň. příjmy 2023" sheetId="13" r:id="rId3"/>
    <sheet name="daň. příjmy 2022" sheetId="12" r:id="rId4"/>
  </sheets>
  <calcPr calcId="181029"/>
  <fileRecoveryPr autoRecover="0"/>
</workbook>
</file>

<file path=xl/calcChain.xml><?xml version="1.0" encoding="utf-8"?>
<calcChain xmlns="http://schemas.openxmlformats.org/spreadsheetml/2006/main">
  <c r="I20" i="6" l="1"/>
  <c r="B18" i="6"/>
  <c r="I18" i="6"/>
  <c r="B18" i="15"/>
  <c r="I12" i="6"/>
  <c r="D71" i="6"/>
  <c r="F24" i="15"/>
  <c r="C90" i="15" l="1"/>
  <c r="D88" i="15"/>
  <c r="B88" i="15"/>
  <c r="D87" i="15"/>
  <c r="B87" i="15"/>
  <c r="D86" i="15"/>
  <c r="B86" i="15"/>
  <c r="D85" i="15"/>
  <c r="B85" i="15"/>
  <c r="D84" i="15"/>
  <c r="B84" i="15"/>
  <c r="D83" i="15"/>
  <c r="B83" i="15"/>
  <c r="D82" i="15"/>
  <c r="B82" i="15"/>
  <c r="D81" i="15"/>
  <c r="B81" i="15"/>
  <c r="D80" i="15"/>
  <c r="B80" i="15"/>
  <c r="D79" i="15"/>
  <c r="B79" i="15"/>
  <c r="D78" i="15"/>
  <c r="B78" i="15"/>
  <c r="D77" i="15"/>
  <c r="B77" i="15"/>
  <c r="D73" i="15"/>
  <c r="D70" i="15"/>
  <c r="D69" i="15"/>
  <c r="C92" i="15" s="1"/>
  <c r="D68" i="15"/>
  <c r="C91" i="15" s="1"/>
  <c r="D67" i="15"/>
  <c r="G65" i="15"/>
  <c r="G67" i="15" s="1"/>
  <c r="B65" i="15"/>
  <c r="B71" i="15" s="1"/>
  <c r="H64" i="15"/>
  <c r="D64" i="15"/>
  <c r="C64" i="15"/>
  <c r="H63" i="15"/>
  <c r="C63" i="15"/>
  <c r="D63" i="15" s="1"/>
  <c r="H62" i="15"/>
  <c r="D62" i="15"/>
  <c r="H61" i="15"/>
  <c r="D61" i="15"/>
  <c r="H60" i="15"/>
  <c r="D60" i="15"/>
  <c r="C60" i="15"/>
  <c r="H59" i="15"/>
  <c r="C59" i="15"/>
  <c r="C65" i="15" s="1"/>
  <c r="H58" i="15"/>
  <c r="D58" i="15"/>
  <c r="H57" i="15"/>
  <c r="D57" i="15"/>
  <c r="H56" i="15"/>
  <c r="D56" i="15"/>
  <c r="H55" i="15"/>
  <c r="D55" i="15"/>
  <c r="H54" i="15"/>
  <c r="D54" i="15"/>
  <c r="H53" i="15"/>
  <c r="D53" i="15"/>
  <c r="M44" i="15"/>
  <c r="L44" i="15"/>
  <c r="K44" i="15"/>
  <c r="J44" i="15"/>
  <c r="C44" i="15"/>
  <c r="B41" i="15" s="1"/>
  <c r="D41" i="15" s="1"/>
  <c r="B39" i="15"/>
  <c r="D39" i="15" s="1"/>
  <c r="B37" i="15"/>
  <c r="D37" i="15" s="1"/>
  <c r="B35" i="15"/>
  <c r="D35" i="15" s="1"/>
  <c r="B33" i="15"/>
  <c r="D33" i="15" s="1"/>
  <c r="B31" i="15"/>
  <c r="D31" i="15" s="1"/>
  <c r="I26" i="15"/>
  <c r="G24" i="15"/>
  <c r="E24" i="15"/>
  <c r="C24" i="15"/>
  <c r="I21" i="15"/>
  <c r="C45" i="15" s="1"/>
  <c r="I20" i="15"/>
  <c r="L18" i="15"/>
  <c r="L20" i="15" s="1"/>
  <c r="H18" i="15"/>
  <c r="H24" i="15" s="1"/>
  <c r="G18" i="15"/>
  <c r="F18" i="15"/>
  <c r="E18" i="15"/>
  <c r="D18" i="15"/>
  <c r="D24" i="15" s="1"/>
  <c r="C18" i="15"/>
  <c r="B24" i="15"/>
  <c r="M17" i="15"/>
  <c r="K17" i="15"/>
  <c r="I17" i="15"/>
  <c r="M16" i="15"/>
  <c r="K16" i="15"/>
  <c r="I16" i="15"/>
  <c r="M15" i="15"/>
  <c r="K15" i="15"/>
  <c r="I15" i="15"/>
  <c r="M14" i="15"/>
  <c r="K14" i="15"/>
  <c r="I14" i="15"/>
  <c r="M13" i="15"/>
  <c r="K13" i="15"/>
  <c r="I13" i="15"/>
  <c r="M12" i="15"/>
  <c r="K12" i="15"/>
  <c r="I12" i="15"/>
  <c r="M11" i="15"/>
  <c r="K11" i="15"/>
  <c r="I11" i="15"/>
  <c r="M10" i="15"/>
  <c r="K10" i="15"/>
  <c r="I10" i="15"/>
  <c r="M9" i="15"/>
  <c r="K9" i="15"/>
  <c r="I9" i="15"/>
  <c r="M8" i="15"/>
  <c r="K8" i="15"/>
  <c r="I8" i="15"/>
  <c r="M7" i="15"/>
  <c r="K7" i="15"/>
  <c r="I7" i="15"/>
  <c r="M6" i="15"/>
  <c r="K6" i="15"/>
  <c r="I6" i="15"/>
  <c r="I18" i="15" s="1"/>
  <c r="I24" i="15" s="1"/>
  <c r="C71" i="15" l="1"/>
  <c r="D65" i="15"/>
  <c r="D71" i="15" s="1"/>
  <c r="B32" i="15"/>
  <c r="D32" i="15" s="1"/>
  <c r="B34" i="15"/>
  <c r="D34" i="15" s="1"/>
  <c r="B36" i="15"/>
  <c r="D36" i="15" s="1"/>
  <c r="B38" i="15"/>
  <c r="D38" i="15" s="1"/>
  <c r="B40" i="15"/>
  <c r="D40" i="15" s="1"/>
  <c r="B42" i="15"/>
  <c r="D42" i="15" s="1"/>
  <c r="J6" i="15"/>
  <c r="J7" i="15"/>
  <c r="J8" i="15"/>
  <c r="J9" i="15"/>
  <c r="J10" i="15"/>
  <c r="J11" i="15"/>
  <c r="J12" i="15"/>
  <c r="J13" i="15"/>
  <c r="J14" i="15"/>
  <c r="J15" i="15"/>
  <c r="J16" i="15"/>
  <c r="J17" i="15"/>
  <c r="J19" i="15"/>
  <c r="E53" i="15"/>
  <c r="F53" i="15" s="1"/>
  <c r="E54" i="15"/>
  <c r="F54" i="15" s="1"/>
  <c r="E55" i="15"/>
  <c r="F55" i="15" s="1"/>
  <c r="E56" i="15"/>
  <c r="F56" i="15" s="1"/>
  <c r="E57" i="15"/>
  <c r="F57" i="15" s="1"/>
  <c r="E58" i="15"/>
  <c r="F58" i="15" s="1"/>
  <c r="D59" i="15"/>
  <c r="E59" i="15" s="1"/>
  <c r="F59" i="15" s="1"/>
  <c r="E60" i="15" l="1"/>
  <c r="F60" i="15" s="1"/>
  <c r="E64" i="15"/>
  <c r="F64" i="15" s="1"/>
  <c r="E63" i="15"/>
  <c r="F63" i="15" s="1"/>
  <c r="E61" i="15"/>
  <c r="F61" i="15" s="1"/>
  <c r="E62" i="15"/>
  <c r="F62" i="15" s="1"/>
  <c r="C44" i="6" l="1"/>
  <c r="I7" i="6"/>
  <c r="I8" i="6"/>
  <c r="I9" i="6"/>
  <c r="I10" i="6"/>
  <c r="I11" i="6"/>
  <c r="I13" i="6"/>
  <c r="I14" i="6"/>
  <c r="I15" i="6"/>
  <c r="I16" i="6"/>
  <c r="I17" i="6"/>
  <c r="I6" i="6"/>
  <c r="E67" i="6"/>
  <c r="E54" i="6"/>
  <c r="E55" i="6"/>
  <c r="E56" i="6"/>
  <c r="E57" i="6"/>
  <c r="E58" i="6"/>
  <c r="E59" i="6"/>
  <c r="E60" i="6"/>
  <c r="E61" i="6"/>
  <c r="E62" i="6"/>
  <c r="E63" i="6"/>
  <c r="E64" i="6"/>
  <c r="E53" i="6"/>
  <c r="D65" i="6"/>
  <c r="B44" i="6"/>
  <c r="D44" i="6"/>
  <c r="C90" i="13" l="1"/>
  <c r="B88" i="13" s="1"/>
  <c r="D88" i="13" s="1"/>
  <c r="B85" i="13"/>
  <c r="D85" i="13" s="1"/>
  <c r="B83" i="13"/>
  <c r="D83" i="13" s="1"/>
  <c r="B81" i="13"/>
  <c r="D81" i="13" s="1"/>
  <c r="B79" i="13"/>
  <c r="D79" i="13" s="1"/>
  <c r="B77" i="13"/>
  <c r="D77" i="13" s="1"/>
  <c r="D73" i="13"/>
  <c r="B71" i="13"/>
  <c r="D70" i="13"/>
  <c r="D69" i="13"/>
  <c r="C92" i="13" s="1"/>
  <c r="D68" i="13"/>
  <c r="C91" i="13" s="1"/>
  <c r="G67" i="13"/>
  <c r="D67" i="13"/>
  <c r="G65" i="13"/>
  <c r="C65" i="13"/>
  <c r="C71" i="13" s="1"/>
  <c r="B65" i="13"/>
  <c r="H64" i="13"/>
  <c r="E64" i="13"/>
  <c r="F64" i="13" s="1"/>
  <c r="D64" i="13"/>
  <c r="H63" i="13"/>
  <c r="E63" i="13"/>
  <c r="F63" i="13" s="1"/>
  <c r="D63" i="13"/>
  <c r="H62" i="13"/>
  <c r="E62" i="13"/>
  <c r="F62" i="13" s="1"/>
  <c r="D62" i="13"/>
  <c r="H61" i="13"/>
  <c r="E61" i="13"/>
  <c r="F61" i="13" s="1"/>
  <c r="D61" i="13"/>
  <c r="H60" i="13"/>
  <c r="E60" i="13"/>
  <c r="F60" i="13" s="1"/>
  <c r="D60" i="13"/>
  <c r="H59" i="13"/>
  <c r="E59" i="13"/>
  <c r="F59" i="13" s="1"/>
  <c r="D59" i="13"/>
  <c r="H58" i="13"/>
  <c r="E58" i="13"/>
  <c r="F58" i="13" s="1"/>
  <c r="D58" i="13"/>
  <c r="H57" i="13"/>
  <c r="E57" i="13"/>
  <c r="F57" i="13" s="1"/>
  <c r="D57" i="13"/>
  <c r="H56" i="13"/>
  <c r="E56" i="13"/>
  <c r="F56" i="13" s="1"/>
  <c r="D56" i="13"/>
  <c r="H55" i="13"/>
  <c r="E55" i="13"/>
  <c r="F55" i="13" s="1"/>
  <c r="D55" i="13"/>
  <c r="H54" i="13"/>
  <c r="E54" i="13"/>
  <c r="F54" i="13" s="1"/>
  <c r="D54" i="13"/>
  <c r="H53" i="13"/>
  <c r="E53" i="13"/>
  <c r="F53" i="13" s="1"/>
  <c r="D53" i="13"/>
  <c r="M44" i="13"/>
  <c r="L44" i="13"/>
  <c r="K44" i="13"/>
  <c r="J44" i="13"/>
  <c r="C44" i="13"/>
  <c r="B38" i="13" s="1"/>
  <c r="D38" i="13" s="1"/>
  <c r="B39" i="13"/>
  <c r="D39" i="13" s="1"/>
  <c r="B37" i="13"/>
  <c r="D37" i="13" s="1"/>
  <c r="B35" i="13"/>
  <c r="D35" i="13" s="1"/>
  <c r="B33" i="13"/>
  <c r="D33" i="13" s="1"/>
  <c r="B31" i="13"/>
  <c r="D31" i="13" s="1"/>
  <c r="I26" i="13"/>
  <c r="F24" i="13"/>
  <c r="E24" i="13"/>
  <c r="B24" i="13"/>
  <c r="I21" i="13"/>
  <c r="C45" i="13" s="1"/>
  <c r="I20" i="13"/>
  <c r="L18" i="13"/>
  <c r="L20" i="13" s="1"/>
  <c r="H18" i="13"/>
  <c r="H24" i="13" s="1"/>
  <c r="G18" i="13"/>
  <c r="G24" i="13" s="1"/>
  <c r="F18" i="13"/>
  <c r="E18" i="13"/>
  <c r="D18" i="13"/>
  <c r="D24" i="13" s="1"/>
  <c r="C18" i="13"/>
  <c r="J19" i="13" s="1"/>
  <c r="B18" i="13"/>
  <c r="M17" i="13"/>
  <c r="K17" i="13"/>
  <c r="J17" i="13"/>
  <c r="I17" i="13"/>
  <c r="M16" i="13"/>
  <c r="K16" i="13"/>
  <c r="J16" i="13"/>
  <c r="I16" i="13"/>
  <c r="M15" i="13"/>
  <c r="K15" i="13"/>
  <c r="J15" i="13"/>
  <c r="I15" i="13"/>
  <c r="M14" i="13"/>
  <c r="K14" i="13"/>
  <c r="J14" i="13"/>
  <c r="I14" i="13"/>
  <c r="M13" i="13"/>
  <c r="K13" i="13"/>
  <c r="J13" i="13"/>
  <c r="I13" i="13"/>
  <c r="M12" i="13"/>
  <c r="K12" i="13"/>
  <c r="J12" i="13"/>
  <c r="I12" i="13"/>
  <c r="M11" i="13"/>
  <c r="K11" i="13"/>
  <c r="J11" i="13"/>
  <c r="I11" i="13"/>
  <c r="M10" i="13"/>
  <c r="K10" i="13"/>
  <c r="J10" i="13"/>
  <c r="I10" i="13"/>
  <c r="M9" i="13"/>
  <c r="K9" i="13"/>
  <c r="J9" i="13"/>
  <c r="I9" i="13"/>
  <c r="M8" i="13"/>
  <c r="K8" i="13"/>
  <c r="J8" i="13"/>
  <c r="I8" i="13"/>
  <c r="M7" i="13"/>
  <c r="K7" i="13"/>
  <c r="J7" i="13"/>
  <c r="I7" i="13"/>
  <c r="M6" i="13"/>
  <c r="K6" i="13"/>
  <c r="J6" i="13"/>
  <c r="I6" i="13"/>
  <c r="I18" i="13" s="1"/>
  <c r="I24" i="13" s="1"/>
  <c r="B41" i="13" l="1"/>
  <c r="D41" i="13" s="1"/>
  <c r="B42" i="13"/>
  <c r="D42" i="13" s="1"/>
  <c r="B40" i="13"/>
  <c r="D40" i="13" s="1"/>
  <c r="C24" i="13"/>
  <c r="B32" i="13"/>
  <c r="D32" i="13" s="1"/>
  <c r="B34" i="13"/>
  <c r="D34" i="13" s="1"/>
  <c r="B36" i="13"/>
  <c r="D36" i="13" s="1"/>
  <c r="B87" i="13"/>
  <c r="D87" i="13" s="1"/>
  <c r="D65" i="13"/>
  <c r="D71" i="13" s="1"/>
  <c r="B78" i="13"/>
  <c r="D78" i="13" s="1"/>
  <c r="B80" i="13"/>
  <c r="D80" i="13" s="1"/>
  <c r="B82" i="13"/>
  <c r="D82" i="13" s="1"/>
  <c r="B84" i="13"/>
  <c r="D84" i="13" s="1"/>
  <c r="B86" i="13"/>
  <c r="D86" i="13" s="1"/>
  <c r="E44" i="6" l="1"/>
  <c r="C94" i="12" l="1"/>
  <c r="B91" i="12" s="1"/>
  <c r="D91" i="12" s="1"/>
  <c r="B88" i="12"/>
  <c r="D88" i="12" s="1"/>
  <c r="B87" i="12"/>
  <c r="D87" i="12" s="1"/>
  <c r="B86" i="12"/>
  <c r="D86" i="12" s="1"/>
  <c r="B85" i="12"/>
  <c r="D85" i="12" s="1"/>
  <c r="B84" i="12"/>
  <c r="D84" i="12" s="1"/>
  <c r="B83" i="12"/>
  <c r="D83" i="12" s="1"/>
  <c r="B82" i="12"/>
  <c r="D82" i="12" s="1"/>
  <c r="B81" i="12"/>
  <c r="D81" i="12" s="1"/>
  <c r="B80" i="12"/>
  <c r="D80" i="12" s="1"/>
  <c r="D76" i="12"/>
  <c r="D73" i="12"/>
  <c r="D72" i="12"/>
  <c r="C95" i="12" s="1"/>
  <c r="D71" i="12"/>
  <c r="D70" i="12"/>
  <c r="G68" i="12"/>
  <c r="G70" i="12" s="1"/>
  <c r="C68" i="12"/>
  <c r="C74" i="12" s="1"/>
  <c r="B68" i="12"/>
  <c r="B74" i="12" s="1"/>
  <c r="H67" i="12"/>
  <c r="D67" i="12"/>
  <c r="H66" i="12"/>
  <c r="D66" i="12"/>
  <c r="H65" i="12"/>
  <c r="D65" i="12"/>
  <c r="H64" i="12"/>
  <c r="D64" i="12"/>
  <c r="H63" i="12"/>
  <c r="D63" i="12"/>
  <c r="H62" i="12"/>
  <c r="D62" i="12"/>
  <c r="H61" i="12"/>
  <c r="D61" i="12"/>
  <c r="H60" i="12"/>
  <c r="D60" i="12"/>
  <c r="H59" i="12"/>
  <c r="D59" i="12"/>
  <c r="E64" i="12" s="1"/>
  <c r="F64" i="12" s="1"/>
  <c r="H58" i="12"/>
  <c r="D58" i="12"/>
  <c r="H57" i="12"/>
  <c r="D57" i="12"/>
  <c r="H56" i="12"/>
  <c r="E56" i="12"/>
  <c r="F56" i="12" s="1"/>
  <c r="D56" i="12"/>
  <c r="E65" i="12" s="1"/>
  <c r="F65" i="12" s="1"/>
  <c r="M45" i="12"/>
  <c r="L45" i="12"/>
  <c r="K45" i="12"/>
  <c r="J45" i="12"/>
  <c r="B40" i="12"/>
  <c r="D40" i="12" s="1"/>
  <c r="B39" i="12"/>
  <c r="D39" i="12" s="1"/>
  <c r="B38" i="12"/>
  <c r="D38" i="12" s="1"/>
  <c r="B37" i="12"/>
  <c r="D37" i="12" s="1"/>
  <c r="B36" i="12"/>
  <c r="D36" i="12" s="1"/>
  <c r="B35" i="12"/>
  <c r="D35" i="12" s="1"/>
  <c r="B34" i="12"/>
  <c r="D34" i="12" s="1"/>
  <c r="B33" i="12"/>
  <c r="D33" i="12" s="1"/>
  <c r="B32" i="12"/>
  <c r="D32" i="12" s="1"/>
  <c r="I27" i="12"/>
  <c r="F25" i="12"/>
  <c r="I22" i="12"/>
  <c r="C46" i="12" s="1"/>
  <c r="I21" i="12"/>
  <c r="L19" i="12"/>
  <c r="L21" i="12" s="1"/>
  <c r="H19" i="12"/>
  <c r="H25" i="12" s="1"/>
  <c r="G19" i="12"/>
  <c r="G25" i="12" s="1"/>
  <c r="F19" i="12"/>
  <c r="E19" i="12"/>
  <c r="E25" i="12" s="1"/>
  <c r="D19" i="12"/>
  <c r="D25" i="12" s="1"/>
  <c r="C19" i="12"/>
  <c r="C25" i="12" s="1"/>
  <c r="B19" i="12"/>
  <c r="B25" i="12" s="1"/>
  <c r="M18" i="12"/>
  <c r="I18" i="12"/>
  <c r="M17" i="12"/>
  <c r="I17" i="12"/>
  <c r="M16" i="12"/>
  <c r="I16" i="12"/>
  <c r="M15" i="12"/>
  <c r="I15" i="12"/>
  <c r="M14" i="12"/>
  <c r="I14" i="12"/>
  <c r="M13" i="12"/>
  <c r="I13" i="12"/>
  <c r="M12" i="12"/>
  <c r="I12" i="12"/>
  <c r="M11" i="12"/>
  <c r="I11" i="12"/>
  <c r="M10" i="12"/>
  <c r="I10" i="12"/>
  <c r="M9" i="12"/>
  <c r="I9" i="12"/>
  <c r="M8" i="12"/>
  <c r="I8" i="12"/>
  <c r="M7" i="12"/>
  <c r="I7" i="12"/>
  <c r="K13" i="12" s="1"/>
  <c r="B43" i="12" l="1"/>
  <c r="D43" i="12" s="1"/>
  <c r="B42" i="12"/>
  <c r="D42" i="12" s="1"/>
  <c r="K8" i="12"/>
  <c r="K12" i="12"/>
  <c r="K7" i="12"/>
  <c r="E59" i="12"/>
  <c r="F59" i="12" s="1"/>
  <c r="E63" i="12"/>
  <c r="F63" i="12" s="1"/>
  <c r="E67" i="12"/>
  <c r="F67" i="12" s="1"/>
  <c r="B89" i="12"/>
  <c r="D89" i="12" s="1"/>
  <c r="K16" i="12"/>
  <c r="E60" i="12"/>
  <c r="F60" i="12" s="1"/>
  <c r="K11" i="12"/>
  <c r="K10" i="12"/>
  <c r="K14" i="12"/>
  <c r="E58" i="12"/>
  <c r="F58" i="12" s="1"/>
  <c r="E62" i="12"/>
  <c r="F62" i="12" s="1"/>
  <c r="E66" i="12"/>
  <c r="F66" i="12" s="1"/>
  <c r="B90" i="12"/>
  <c r="D90" i="12" s="1"/>
  <c r="K9" i="12"/>
  <c r="E57" i="12"/>
  <c r="F57" i="12" s="1"/>
  <c r="E61" i="12"/>
  <c r="F61" i="12" s="1"/>
  <c r="D68" i="12"/>
  <c r="D74" i="12" s="1"/>
  <c r="K18" i="12"/>
  <c r="K17" i="12"/>
  <c r="K15" i="12"/>
  <c r="J18" i="12"/>
  <c r="I19" i="12"/>
  <c r="I25" i="12" s="1"/>
  <c r="B41" i="12"/>
  <c r="D41" i="12" s="1"/>
  <c r="J7" i="12"/>
  <c r="J8" i="12"/>
  <c r="J9" i="12"/>
  <c r="J10" i="12"/>
  <c r="J11" i="12"/>
  <c r="J12" i="12"/>
  <c r="J13" i="12"/>
  <c r="J14" i="12"/>
  <c r="J15" i="12"/>
  <c r="J16" i="12"/>
  <c r="J17" i="12"/>
  <c r="J20" i="12"/>
  <c r="J18" i="6" l="1"/>
  <c r="J20" i="6" s="1"/>
  <c r="E68" i="6" l="1"/>
  <c r="I21" i="6"/>
  <c r="E70" i="6" l="1"/>
  <c r="E69" i="6" l="1"/>
  <c r="C65" i="6" l="1"/>
  <c r="C71" i="6" s="1"/>
  <c r="I26" i="6" l="1"/>
  <c r="B65" i="6" l="1"/>
  <c r="B71" i="6" l="1"/>
  <c r="E65" i="6"/>
  <c r="E71" i="6" s="1"/>
  <c r="C18" i="6" l="1"/>
  <c r="C24" i="6" s="1"/>
  <c r="D18" i="6"/>
  <c r="D24" i="6" s="1"/>
  <c r="E18" i="6"/>
  <c r="E24" i="6" s="1"/>
  <c r="F18" i="6"/>
  <c r="F24" i="6" s="1"/>
  <c r="G18" i="6"/>
  <c r="G24" i="6" s="1"/>
  <c r="H18" i="6"/>
  <c r="H24" i="6" s="1"/>
  <c r="B24" i="6" l="1"/>
  <c r="I24" i="6"/>
  <c r="F65" i="6" l="1"/>
</calcChain>
</file>

<file path=xl/sharedStrings.xml><?xml version="1.0" encoding="utf-8"?>
<sst xmlns="http://schemas.openxmlformats.org/spreadsheetml/2006/main" count="542" uniqueCount="105">
  <si>
    <t>položka</t>
  </si>
  <si>
    <t>Daň z příjmu PO</t>
  </si>
  <si>
    <t>DPH</t>
  </si>
  <si>
    <t>Daň z nemovitosti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</si>
  <si>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</si>
  <si>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</si>
  <si>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</si>
  <si>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</si>
  <si>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</si>
  <si>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</si>
  <si>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</si>
  <si>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</si>
  <si>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</si>
  <si>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</si>
  <si>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 xml:space="preserve">listopad </t>
  </si>
  <si>
    <t>prosinec</t>
  </si>
  <si>
    <t>Daň z příjmu PO za obce</t>
  </si>
  <si>
    <t>údaje v Kč</t>
  </si>
  <si>
    <t>jednotlivé měsíce roku /odvody</t>
  </si>
  <si>
    <t>jednotlivé měsíce roku/daně</t>
  </si>
  <si>
    <t>rozdíl</t>
  </si>
  <si>
    <t>průměr měsíčního plnění</t>
  </si>
  <si>
    <t>plnění v %</t>
  </si>
  <si>
    <t>listopad</t>
  </si>
  <si>
    <t>předpoklad *</t>
  </si>
  <si>
    <t>schválený rozpočet</t>
  </si>
  <si>
    <t>Porovnání plnění vzhledem ke schválenému rozpočtu</t>
  </si>
  <si>
    <t xml:space="preserve">leden </t>
  </si>
  <si>
    <t>Celkem za jednotlivou daň</t>
  </si>
  <si>
    <t>Celkem za daný měsíc</t>
  </si>
  <si>
    <t>…skutečnost je nižší než předpoklad</t>
  </si>
  <si>
    <t>kontrolní číslo</t>
  </si>
  <si>
    <t>Daň z příjmu FO placená plátci</t>
  </si>
  <si>
    <t>Daň z příjmu FO placená poplatníky</t>
  </si>
  <si>
    <t>Daň z příjmu FO vybíraná srážkou</t>
  </si>
  <si>
    <t>skutečnost **</t>
  </si>
  <si>
    <t>** součet za jednotlivé měsíce kumulativně, stav ke konci daného měsíce</t>
  </si>
  <si>
    <t>* předpoklad měsíčního plnění</t>
  </si>
  <si>
    <t>Daň z technických her</t>
  </si>
  <si>
    <t>součet za jednotlivé měsíce</t>
  </si>
  <si>
    <t>…skutečnost je vyšší než předpoklad</t>
  </si>
  <si>
    <r>
      <t xml:space="preserve">Daň z hazardních her </t>
    </r>
    <r>
      <rPr>
        <b/>
        <i/>
        <sz val="10"/>
        <rFont val="Calibri"/>
        <family val="2"/>
        <charset val="238"/>
      </rPr>
      <t>(vč. loterií)</t>
    </r>
  </si>
  <si>
    <t>součet kumulativně</t>
  </si>
  <si>
    <t>DPH - skutečnost 2019</t>
  </si>
  <si>
    <t>Celkem</t>
  </si>
  <si>
    <t>Upravený rozpočet po schválení RO č. 2</t>
  </si>
  <si>
    <t>DPH - skutečnost 2020</t>
  </si>
  <si>
    <t>průměr měsíčního plnění v 2020</t>
  </si>
  <si>
    <t>Schválený rozpočet 2021</t>
  </si>
  <si>
    <t>Upravený rozpočet po schválení RO č. 2 - ZM 23.03.2021</t>
  </si>
  <si>
    <t>* předpoklad měsíčního plnění po schválení RO č. 2</t>
  </si>
  <si>
    <t>Upravený rozpočet po schválení RO č. 4 - ZM 20.10.2021</t>
  </si>
  <si>
    <t>skutečnost 2021</t>
  </si>
  <si>
    <t>součet 2021 kumulativně</t>
  </si>
  <si>
    <t>DPH - skutečnost 2021</t>
  </si>
  <si>
    <t>DPH - 2022</t>
  </si>
  <si>
    <t>Schválený rozpočet 2022</t>
  </si>
  <si>
    <t>Skutečnost DPH v r. 2019, 2020 a 2021</t>
  </si>
  <si>
    <t>Daň z hazardních her v roce 2022</t>
  </si>
  <si>
    <t>Daňové příjmy v roce 2022</t>
  </si>
  <si>
    <t>2022</t>
  </si>
  <si>
    <t>průměr měsíčního plnění v 2021</t>
  </si>
  <si>
    <t>...skutečnost je vyšší než předpoklad</t>
  </si>
  <si>
    <t>Upravený rozpočet po schválení RO č. 5 - ZM 19.10.2022</t>
  </si>
  <si>
    <t xml:space="preserve">* předpoklad měsíčního plnění po schválení RO č. 5 </t>
  </si>
  <si>
    <t>* předpoklad měsíčního plnění po schválení RO č. 5</t>
  </si>
  <si>
    <t>průměr měsíčního plnění v 2022</t>
  </si>
  <si>
    <t>DPH - skutečnost 2022</t>
  </si>
  <si>
    <t>Schválený rozpočet 2023</t>
  </si>
  <si>
    <t>.</t>
  </si>
  <si>
    <t>Upravený rozpočet po schválení RO č. x - ZM dd.mm.2024</t>
  </si>
  <si>
    <t>DPH - skutečnost 2023</t>
  </si>
  <si>
    <t>Celkem za daň</t>
  </si>
  <si>
    <t>Daňové příjmy v roce 2023</t>
  </si>
  <si>
    <t>skutečnost 2022</t>
  </si>
  <si>
    <t>součet 2022 kumulativně</t>
  </si>
  <si>
    <t>Upravený rozpočet po schválení RO č. 5 - ZM 18.10.2023</t>
  </si>
  <si>
    <t>Skutečnost DPH v r. 2020, 2021 a 2022</t>
  </si>
  <si>
    <t>DPH - 2023</t>
  </si>
  <si>
    <t>Daň z hazardních her v roce 2023</t>
  </si>
  <si>
    <t>2023</t>
  </si>
  <si>
    <t>1382,1383,1385</t>
  </si>
  <si>
    <t>Daňové příjmy v roce 2025</t>
  </si>
  <si>
    <t>skutečnost 2024</t>
  </si>
  <si>
    <t>Daň z hazardních her v roce 2025</t>
  </si>
  <si>
    <t>2025</t>
  </si>
  <si>
    <t>1381, 1382, 1383, 1385</t>
  </si>
  <si>
    <t>Schválený rozpočet 2025</t>
  </si>
  <si>
    <t>Daň z hazardních her s vyjímkou TH</t>
  </si>
  <si>
    <t>Daň z technic. her neprovozovaných prostř. Internetu,</t>
  </si>
  <si>
    <t>Ostatní příjmy z hazardních her</t>
  </si>
  <si>
    <t>DPH - skutečnost 2024</t>
  </si>
  <si>
    <t>DPH - 2025</t>
  </si>
  <si>
    <t>Skutečnost DPH v r. 2022-2024 a 2025</t>
  </si>
  <si>
    <t>Daňové příjmy v roce 2024</t>
  </si>
  <si>
    <t>skutečnost 2023</t>
  </si>
  <si>
    <t>součet 2023 kumulativně</t>
  </si>
  <si>
    <t>Schválený rozpočet 2024</t>
  </si>
  <si>
    <t>Skutečnost DPH v r. 2021, 2022 a 2023</t>
  </si>
  <si>
    <t>DPH - 2024</t>
  </si>
  <si>
    <t xml:space="preserve">* předpoklad měsíčního plnění po schválení RO č.  </t>
  </si>
  <si>
    <t>Daň z hazardních her v roce 2024</t>
  </si>
  <si>
    <t>2024</t>
  </si>
  <si>
    <t>1382,1383,1385, 1386, 1387</t>
  </si>
  <si>
    <t>Tendence plnění daní je zatím srovnatelná s rokem 2024, kdy v  srpnu 2024 bylo plnění 66 %.
Pro srovnání v roce 2024 byl schválený rozpočet pro plnění daňových příjmů ve výši 168 374 000 Kč, pro rok 2025 je stanovena částka ve výši 179 559 000 Kč.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</si>
</sst>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#,##0.00\ _K_č"/>
    <numFmt numFmtId="165" formatCode="#,##0.00\ &quot;Kč&quot;"/>
  </numFmts>
  <fonts count="54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Calibri"/>
      <family val="2"/>
      <charset val="238"/>
    </font>
    <font>
      <b/>
      <sz val="12"/>
      <name val="Calibri"/>
      <family val="2"/>
      <charset val="238"/>
    </font>
    <font>
      <u/>
      <sz val="10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rgb="FFFC4824"/>
      <name val="Calibri"/>
      <family val="2"/>
      <charset val="238"/>
    </font>
    <font>
      <i/>
      <sz val="10"/>
      <name val="Calibri"/>
      <family val="2"/>
      <charset val="238"/>
    </font>
    <font>
      <b/>
      <i/>
      <sz val="10"/>
      <name val="Calibri"/>
      <family val="2"/>
      <charset val="238"/>
    </font>
    <font>
      <b/>
      <sz val="11"/>
      <name val="Calibri"/>
      <family val="2"/>
      <charset val="238"/>
    </font>
    <font>
      <b/>
      <sz val="10"/>
      <color theme="0" tint="-0.34998626667073579"/>
      <name val="Calibri"/>
      <family val="2"/>
      <charset val="238"/>
    </font>
    <font>
      <i/>
      <sz val="9"/>
      <name val="Calibri"/>
      <family val="2"/>
      <charset val="238"/>
    </font>
    <font>
      <b/>
      <sz val="10"/>
      <color indexed="22"/>
      <name val="Calibri"/>
      <family val="2"/>
      <charset val="238"/>
    </font>
    <font>
      <b/>
      <sz val="11"/>
      <color theme="8" tint="-0.249977111117893"/>
      <name val="Calibri"/>
      <family val="2"/>
      <charset val="238"/>
    </font>
    <font>
      <b/>
      <u/>
      <sz val="10"/>
      <name val="Calibri"/>
      <family val="2"/>
      <charset val="238"/>
    </font>
    <font>
      <b/>
      <sz val="10"/>
      <color indexed="10"/>
      <name val="Calibri"/>
      <family val="2"/>
      <charset val="238"/>
    </font>
    <font>
      <sz val="10"/>
      <color indexed="10"/>
      <name val="Calibri"/>
      <family val="2"/>
      <charset val="238"/>
    </font>
    <font>
      <sz val="10.5"/>
      <name val="Calibri"/>
      <family val="2"/>
      <charset val="238"/>
    </font>
    <font>
      <b/>
      <sz val="10"/>
      <color theme="2" tint="-9.9978637043366805E-2"/>
      <name val="Calibri"/>
      <family val="2"/>
      <charset val="238"/>
    </font>
    <font>
      <sz val="10"/>
      <name val="Arial"/>
      <family val="2"/>
      <charset val="238"/>
    </font>
    <font>
      <i/>
      <sz val="8"/>
      <name val="Calibri"/>
      <family val="2"/>
      <charset val="238"/>
    </font>
    <font>
      <b/>
      <sz val="8"/>
      <color theme="2" tint="-0.499984740745262"/>
      <name val="Calibri"/>
      <family val="2"/>
      <charset val="238"/>
    </font>
    <font>
      <b/>
      <sz val="10"/>
      <color theme="1" tint="0.14999847407452621"/>
      <name val="Calibri"/>
      <family val="2"/>
      <charset val="238"/>
    </font>
    <font>
      <b/>
      <sz val="10"/>
      <color theme="1" tint="0.249977111117893"/>
      <name val="Calibri"/>
      <family val="2"/>
      <charset val="238"/>
    </font>
    <font>
      <sz val="10.5"/>
      <color rgb="FF0070C0"/>
      <name val="Calibri"/>
      <family val="2"/>
      <charset val="238"/>
    </font>
    <font>
      <sz val="10"/>
      <color theme="9" tint="-0.249977111117893"/>
      <name val="Calibri"/>
      <family val="2"/>
      <charset val="238"/>
    </font>
    <font>
      <b/>
      <sz val="8"/>
      <name val="Calibri"/>
      <family val="2"/>
      <charset val="238"/>
    </font>
    <font>
      <sz val="10"/>
      <color theme="2" tint="-0.499984740745262"/>
      <name val="Calibri"/>
      <family val="2"/>
      <charset val="238"/>
    </font>
    <font>
      <b/>
      <sz val="11"/>
      <color rgb="FF0070C0"/>
      <name val="Calibri"/>
      <family val="2"/>
      <charset val="238"/>
    </font>
    <font>
      <b/>
      <sz val="10"/>
      <color rgb="FF0070C0"/>
      <name val="Calibri"/>
      <family val="2"/>
      <charset val="238"/>
    </font>
    <font>
      <b/>
      <sz val="10"/>
      <color theme="2" tint="-0.499984740745262"/>
      <name val="Calibri"/>
      <family val="2"/>
      <charset val="238"/>
    </font>
    <font>
      <b/>
      <sz val="11"/>
      <color theme="4" tint="0.39997558519241921"/>
      <name val="Calibri"/>
      <family val="2"/>
      <charset val="238"/>
    </font>
    <font>
      <b/>
      <sz val="10"/>
      <color theme="4" tint="0.39997558519241921"/>
      <name val="Calibri"/>
      <family val="2"/>
      <charset val="238"/>
    </font>
    <font>
      <b/>
      <sz val="10"/>
      <color theme="2" tint="-0.249977111117893"/>
      <name val="Calibri"/>
      <family val="2"/>
      <charset val="238"/>
    </font>
    <font>
      <b/>
      <sz val="10"/>
      <color rgb="FFFF0000"/>
      <name val="Calibri"/>
      <family val="2"/>
      <charset val="238"/>
    </font>
    <font>
      <sz val="10"/>
      <color theme="1"/>
      <name val="Calibri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86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11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6" fillId="15" borderId="0" applyNumberFormat="0" applyBorder="0" applyAlignment="0" applyProtection="0"/>
    <xf numFmtId="0" fontId="16" fillId="16" borderId="1" applyNumberFormat="0" applyAlignment="0" applyProtection="0"/>
    <xf numFmtId="0" fontId="5" fillId="0" borderId="2" applyNumberFormat="0" applyFill="0" applyAlignment="0" applyProtection="0"/>
    <xf numFmtId="0" fontId="18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7" fillId="17" borderId="6" applyNumberFormat="0" applyAlignment="0" applyProtection="0"/>
    <xf numFmtId="0" fontId="6" fillId="15" borderId="0" applyNumberFormat="0" applyBorder="0" applyAlignment="0" applyProtection="0"/>
    <xf numFmtId="0" fontId="15" fillId="7" borderId="1" applyNumberFormat="0" applyAlignment="0" applyProtection="0"/>
    <xf numFmtId="0" fontId="7" fillId="17" borderId="6" applyNumberFormat="0" applyAlignment="0" applyProtection="0"/>
    <xf numFmtId="0" fontId="13" fillId="0" borderId="7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" fillId="4" borderId="8" applyNumberFormat="0" applyFont="0" applyAlignment="0" applyProtection="0"/>
    <xf numFmtId="0" fontId="17" fillId="16" borderId="9" applyNumberFormat="0" applyAlignment="0" applyProtection="0"/>
    <xf numFmtId="0" fontId="1" fillId="4" borderId="8" applyNumberFormat="0" applyFont="0" applyAlignment="0" applyProtection="0"/>
    <xf numFmtId="0" fontId="13" fillId="0" borderId="7" applyNumberFormat="0" applyFill="0" applyAlignment="0" applyProtection="0"/>
    <xf numFmtId="0" fontId="14" fillId="6" borderId="0" applyNumberFormat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15" fillId="7" borderId="1" applyNumberFormat="0" applyAlignment="0" applyProtection="0"/>
    <xf numFmtId="0" fontId="16" fillId="16" borderId="1" applyNumberFormat="0" applyAlignment="0" applyProtection="0"/>
    <xf numFmtId="0" fontId="17" fillId="16" borderId="9" applyNumberFormat="0" applyAlignment="0" applyProtection="0"/>
    <xf numFmtId="0" fontId="1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" fillId="11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44" fontId="37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249">
    <xf numFmtId="0" fontId="0" fillId="0" borderId="0" xfId="0"/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0" fontId="23" fillId="19" borderId="15" xfId="0" applyFont="1" applyFill="1" applyBorder="1" applyAlignment="1">
      <alignment horizontal="center" vertical="center" wrapText="1"/>
    </xf>
    <xf numFmtId="0" fontId="23" fillId="19" borderId="10" xfId="0" applyFont="1" applyFill="1" applyBorder="1" applyAlignment="1">
      <alignment horizontal="center" vertical="center" wrapText="1"/>
    </xf>
    <xf numFmtId="0" fontId="23" fillId="19" borderId="17" xfId="0" applyFont="1" applyFill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6" fillId="19" borderId="13" xfId="0" applyFont="1" applyFill="1" applyBorder="1" applyAlignment="1">
      <alignment horizontal="center" vertical="center" wrapText="1"/>
    </xf>
    <xf numFmtId="0" fontId="26" fillId="19" borderId="10" xfId="0" applyFont="1" applyFill="1" applyBorder="1" applyAlignment="1">
      <alignment horizontal="center" vertical="center" wrapText="1"/>
    </xf>
    <xf numFmtId="0" fontId="26" fillId="19" borderId="17" xfId="0" applyFont="1" applyFill="1" applyBorder="1" applyAlignment="1">
      <alignment horizontal="center" vertical="center" wrapText="1"/>
    </xf>
    <xf numFmtId="164" fontId="22" fillId="0" borderId="19" xfId="0" applyNumberFormat="1" applyFont="1" applyBorder="1" applyAlignment="1">
      <alignment horizontal="center" vertical="center"/>
    </xf>
    <xf numFmtId="164" fontId="22" fillId="0" borderId="11" xfId="0" applyNumberFormat="1" applyFont="1" applyBorder="1" applyAlignment="1">
      <alignment horizontal="center" vertical="center"/>
    </xf>
    <xf numFmtId="164" fontId="22" fillId="0" borderId="11" xfId="0" applyNumberFormat="1" applyFont="1" applyBorder="1" applyAlignment="1">
      <alignment horizontal="center" vertical="center" wrapText="1"/>
    </xf>
    <xf numFmtId="4" fontId="22" fillId="0" borderId="11" xfId="0" applyNumberFormat="1" applyFont="1" applyBorder="1" applyAlignment="1">
      <alignment horizontal="center" vertical="center"/>
    </xf>
    <xf numFmtId="164" fontId="22" fillId="0" borderId="28" xfId="0" applyNumberFormat="1" applyFont="1" applyBorder="1" applyAlignment="1">
      <alignment horizontal="center" vertical="center"/>
    </xf>
    <xf numFmtId="4" fontId="22" fillId="0" borderId="10" xfId="0" applyNumberFormat="1" applyFont="1" applyBorder="1" applyAlignment="1">
      <alignment horizontal="center" vertical="center"/>
    </xf>
    <xf numFmtId="164" fontId="22" fillId="0" borderId="15" xfId="0" applyNumberFormat="1" applyFont="1" applyBorder="1" applyAlignment="1">
      <alignment horizontal="center" vertical="center"/>
    </xf>
    <xf numFmtId="164" fontId="22" fillId="0" borderId="10" xfId="0" applyNumberFormat="1" applyFont="1" applyBorder="1" applyAlignment="1">
      <alignment horizontal="center" vertical="center"/>
    </xf>
    <xf numFmtId="164" fontId="22" fillId="0" borderId="10" xfId="0" applyNumberFormat="1" applyFont="1" applyBorder="1" applyAlignment="1">
      <alignment horizontal="center" vertical="center" wrapText="1"/>
    </xf>
    <xf numFmtId="164" fontId="22" fillId="0" borderId="17" xfId="0" applyNumberFormat="1" applyFont="1" applyBorder="1" applyAlignment="1">
      <alignment horizontal="center" vertical="center"/>
    </xf>
    <xf numFmtId="4" fontId="22" fillId="0" borderId="0" xfId="0" applyNumberFormat="1" applyFont="1" applyAlignment="1">
      <alignment horizontal="center" vertical="center"/>
    </xf>
    <xf numFmtId="4" fontId="23" fillId="0" borderId="10" xfId="0" applyNumberFormat="1" applyFont="1" applyBorder="1" applyAlignment="1">
      <alignment horizontal="center" vertical="center"/>
    </xf>
    <xf numFmtId="0" fontId="27" fillId="22" borderId="10" xfId="0" applyFont="1" applyFill="1" applyBorder="1" applyAlignment="1">
      <alignment horizontal="center" vertical="center" wrapText="1"/>
    </xf>
    <xf numFmtId="164" fontId="27" fillId="22" borderId="10" xfId="0" applyNumberFormat="1" applyFont="1" applyFill="1" applyBorder="1" applyAlignment="1">
      <alignment horizontal="center" vertical="center" wrapText="1"/>
    </xf>
    <xf numFmtId="164" fontId="27" fillId="22" borderId="30" xfId="0" applyNumberFormat="1" applyFont="1" applyFill="1" applyBorder="1" applyAlignment="1">
      <alignment horizontal="center" vertical="center" wrapText="1"/>
    </xf>
    <xf numFmtId="164" fontId="28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164" fontId="23" fillId="0" borderId="0" xfId="0" applyNumberFormat="1" applyFont="1" applyAlignment="1">
      <alignment horizontal="center" vertical="center" wrapText="1"/>
    </xf>
    <xf numFmtId="164" fontId="29" fillId="0" borderId="0" xfId="0" applyNumberFormat="1" applyFont="1" applyAlignment="1">
      <alignment horizontal="center" vertical="center" wrapText="1"/>
    </xf>
    <xf numFmtId="164" fontId="30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14" fontId="23" fillId="0" borderId="0" xfId="0" applyNumberFormat="1" applyFont="1" applyAlignment="1">
      <alignment horizontal="center" vertical="center" wrapText="1"/>
    </xf>
    <xf numFmtId="4" fontId="23" fillId="0" borderId="0" xfId="0" applyNumberFormat="1" applyFont="1" applyAlignment="1">
      <alignment horizontal="center" vertical="center" wrapText="1"/>
    </xf>
    <xf numFmtId="14" fontId="32" fillId="0" borderId="0" xfId="0" applyNumberFormat="1" applyFont="1" applyAlignment="1">
      <alignment horizontal="left" vertical="center"/>
    </xf>
    <xf numFmtId="4" fontId="33" fillId="0" borderId="0" xfId="0" applyNumberFormat="1" applyFont="1" applyAlignment="1">
      <alignment horizontal="center" vertical="center" wrapText="1"/>
    </xf>
    <xf numFmtId="164" fontId="33" fillId="0" borderId="0" xfId="0" applyNumberFormat="1" applyFont="1" applyAlignment="1">
      <alignment horizontal="center" vertical="center" wrapText="1"/>
    </xf>
    <xf numFmtId="4" fontId="23" fillId="0" borderId="0" xfId="0" applyNumberFormat="1" applyFont="1" applyAlignment="1">
      <alignment horizontal="center" vertical="center"/>
    </xf>
    <xf numFmtId="4" fontId="23" fillId="0" borderId="23" xfId="0" applyNumberFormat="1" applyFont="1" applyBorder="1" applyAlignment="1">
      <alignment horizontal="left" vertical="center"/>
    </xf>
    <xf numFmtId="4" fontId="23" fillId="0" borderId="23" xfId="0" applyNumberFormat="1" applyFont="1" applyBorder="1" applyAlignment="1">
      <alignment horizontal="center" vertical="center"/>
    </xf>
    <xf numFmtId="4" fontId="34" fillId="0" borderId="0" xfId="0" applyNumberFormat="1" applyFont="1" applyAlignment="1">
      <alignment horizontal="center" vertical="center" wrapText="1"/>
    </xf>
    <xf numFmtId="0" fontId="26" fillId="0" borderId="0" xfId="0" applyFont="1" applyAlignment="1">
      <alignment vertical="center"/>
    </xf>
    <xf numFmtId="4" fontId="23" fillId="0" borderId="11" xfId="0" applyNumberFormat="1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23" fillId="19" borderId="12" xfId="0" applyFont="1" applyFill="1" applyBorder="1" applyAlignment="1">
      <alignment horizontal="center" vertical="center" wrapText="1"/>
    </xf>
    <xf numFmtId="4" fontId="36" fillId="0" borderId="0" xfId="0" applyNumberFormat="1" applyFont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4" fontId="30" fillId="0" borderId="0" xfId="0" applyNumberFormat="1" applyFont="1" applyAlignment="1">
      <alignment horizontal="center" vertical="center"/>
    </xf>
    <xf numFmtId="9" fontId="23" fillId="0" borderId="10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165" fontId="22" fillId="0" borderId="0" xfId="0" applyNumberFormat="1" applyFont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21" borderId="10" xfId="0" applyFont="1" applyFill="1" applyBorder="1" applyAlignment="1">
      <alignment horizontal="center" vertical="center"/>
    </xf>
    <xf numFmtId="14" fontId="22" fillId="0" borderId="0" xfId="0" applyNumberFormat="1" applyFont="1" applyAlignment="1">
      <alignment horizontal="center" vertical="center"/>
    </xf>
    <xf numFmtId="0" fontId="23" fillId="18" borderId="10" xfId="0" applyFont="1" applyFill="1" applyBorder="1" applyAlignment="1">
      <alignment horizontal="center" vertical="center" wrapText="1"/>
    </xf>
    <xf numFmtId="164" fontId="27" fillId="0" borderId="0" xfId="0" applyNumberFormat="1" applyFont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14" fontId="19" fillId="0" borderId="0" xfId="0" applyNumberFormat="1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22" fillId="0" borderId="27" xfId="0" applyNumberFormat="1" applyFont="1" applyBorder="1" applyAlignment="1">
      <alignment horizontal="center" vertical="center"/>
    </xf>
    <xf numFmtId="4" fontId="22" fillId="0" borderId="14" xfId="0" applyNumberFormat="1" applyFont="1" applyBorder="1" applyAlignment="1">
      <alignment horizontal="center" vertical="center"/>
    </xf>
    <xf numFmtId="0" fontId="38" fillId="0" borderId="0" xfId="0" applyFont="1" applyAlignment="1">
      <alignment horizontal="left" vertical="center"/>
    </xf>
    <xf numFmtId="164" fontId="39" fillId="0" borderId="0" xfId="0" applyNumberFormat="1" applyFont="1" applyAlignment="1">
      <alignment horizontal="left" vertical="top"/>
    </xf>
    <xf numFmtId="164" fontId="29" fillId="0" borderId="0" xfId="0" applyNumberFormat="1" applyFont="1" applyAlignment="1">
      <alignment horizontal="center" wrapText="1"/>
    </xf>
    <xf numFmtId="4" fontId="23" fillId="0" borderId="0" xfId="83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4" fontId="19" fillId="21" borderId="10" xfId="0" applyNumberFormat="1" applyFont="1" applyFill="1" applyBorder="1" applyAlignment="1">
      <alignment horizontal="center" vertical="center"/>
    </xf>
    <xf numFmtId="4" fontId="41" fillId="0" borderId="0" xfId="0" applyNumberFormat="1" applyFont="1" applyAlignment="1">
      <alignment horizontal="center" vertical="center" wrapText="1"/>
    </xf>
    <xf numFmtId="0" fontId="26" fillId="19" borderId="32" xfId="0" applyFont="1" applyFill="1" applyBorder="1" applyAlignment="1">
      <alignment horizontal="center" vertical="center" wrapText="1"/>
    </xf>
    <xf numFmtId="164" fontId="22" fillId="0" borderId="33" xfId="0" applyNumberFormat="1" applyFont="1" applyBorder="1" applyAlignment="1">
      <alignment horizontal="center" vertical="center" wrapText="1"/>
    </xf>
    <xf numFmtId="4" fontId="23" fillId="0" borderId="0" xfId="0" applyNumberFormat="1" applyFont="1" applyAlignment="1">
      <alignment horizontal="left" vertical="center"/>
    </xf>
    <xf numFmtId="0" fontId="27" fillId="22" borderId="12" xfId="0" applyFont="1" applyFill="1" applyBorder="1" applyAlignment="1">
      <alignment horizontal="center" vertical="center" wrapText="1"/>
    </xf>
    <xf numFmtId="164" fontId="22" fillId="0" borderId="34" xfId="0" applyNumberFormat="1" applyFont="1" applyBorder="1" applyAlignment="1">
      <alignment horizontal="center" vertical="center" wrapText="1"/>
    </xf>
    <xf numFmtId="0" fontId="42" fillId="0" borderId="0" xfId="0" applyFont="1" applyAlignment="1">
      <alignment horizontal="left" vertical="center"/>
    </xf>
    <xf numFmtId="4" fontId="36" fillId="0" borderId="22" xfId="0" applyNumberFormat="1" applyFont="1" applyBorder="1" applyAlignment="1">
      <alignment horizontal="center" vertical="center"/>
    </xf>
    <xf numFmtId="164" fontId="23" fillId="0" borderId="31" xfId="0" applyNumberFormat="1" applyFont="1" applyBorder="1" applyAlignment="1">
      <alignment horizontal="center" vertical="center"/>
    </xf>
    <xf numFmtId="164" fontId="22" fillId="22" borderId="19" xfId="0" applyNumberFormat="1" applyFont="1" applyFill="1" applyBorder="1" applyAlignment="1">
      <alignment horizontal="center" vertical="center"/>
    </xf>
    <xf numFmtId="164" fontId="19" fillId="22" borderId="19" xfId="0" applyNumberFormat="1" applyFont="1" applyFill="1" applyBorder="1" applyAlignment="1">
      <alignment horizontal="center" vertical="center"/>
    </xf>
    <xf numFmtId="164" fontId="23" fillId="22" borderId="19" xfId="0" applyNumberFormat="1" applyFont="1" applyFill="1" applyBorder="1" applyAlignment="1">
      <alignment horizontal="center" vertical="center"/>
    </xf>
    <xf numFmtId="164" fontId="27" fillId="22" borderId="17" xfId="0" applyNumberFormat="1" applyFont="1" applyFill="1" applyBorder="1" applyAlignment="1">
      <alignment horizontal="center" vertical="center" wrapText="1"/>
    </xf>
    <xf numFmtId="4" fontId="19" fillId="0" borderId="17" xfId="0" applyNumberFormat="1" applyFont="1" applyBorder="1" applyAlignment="1">
      <alignment horizontal="center" vertical="center"/>
    </xf>
    <xf numFmtId="164" fontId="19" fillId="21" borderId="19" xfId="0" applyNumberFormat="1" applyFont="1" applyFill="1" applyBorder="1" applyAlignment="1">
      <alignment horizontal="center" vertical="center"/>
    </xf>
    <xf numFmtId="4" fontId="19" fillId="0" borderId="10" xfId="0" applyNumberFormat="1" applyFont="1" applyBorder="1" applyAlignment="1">
      <alignment horizontal="center" vertical="center"/>
    </xf>
    <xf numFmtId="4" fontId="19" fillId="21" borderId="14" xfId="0" applyNumberFormat="1" applyFont="1" applyFill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164" fontId="19" fillId="21" borderId="10" xfId="0" applyNumberFormat="1" applyFont="1" applyFill="1" applyBorder="1" applyAlignment="1">
      <alignment horizontal="center" vertical="center" wrapText="1"/>
    </xf>
    <xf numFmtId="164" fontId="19" fillId="0" borderId="10" xfId="0" applyNumberFormat="1" applyFont="1" applyBorder="1" applyAlignment="1">
      <alignment horizontal="center" vertical="center" wrapText="1"/>
    </xf>
    <xf numFmtId="164" fontId="19" fillId="0" borderId="17" xfId="0" applyNumberFormat="1" applyFont="1" applyBorder="1" applyAlignment="1">
      <alignment horizontal="center" vertical="center"/>
    </xf>
    <xf numFmtId="164" fontId="23" fillId="22" borderId="26" xfId="0" applyNumberFormat="1" applyFont="1" applyFill="1" applyBorder="1" applyAlignment="1">
      <alignment horizontal="center" vertical="center" wrapText="1"/>
    </xf>
    <xf numFmtId="164" fontId="19" fillId="22" borderId="26" xfId="0" applyNumberFormat="1" applyFont="1" applyFill="1" applyBorder="1" applyAlignment="1">
      <alignment horizontal="center" vertical="center" wrapText="1"/>
    </xf>
    <xf numFmtId="164" fontId="23" fillId="22" borderId="23" xfId="0" applyNumberFormat="1" applyFont="1" applyFill="1" applyBorder="1" applyAlignment="1">
      <alignment horizontal="center" vertical="center"/>
    </xf>
    <xf numFmtId="164" fontId="23" fillId="0" borderId="0" xfId="0" applyNumberFormat="1" applyFont="1" applyAlignment="1">
      <alignment horizontal="left" vertical="center"/>
    </xf>
    <xf numFmtId="0" fontId="23" fillId="0" borderId="23" xfId="0" applyFont="1" applyBorder="1" applyAlignment="1">
      <alignment vertical="center"/>
    </xf>
    <xf numFmtId="0" fontId="23" fillId="0" borderId="36" xfId="0" applyFont="1" applyBorder="1" applyAlignment="1">
      <alignment vertical="center"/>
    </xf>
    <xf numFmtId="164" fontId="27" fillId="20" borderId="10" xfId="0" applyNumberFormat="1" applyFont="1" applyFill="1" applyBorder="1" applyAlignment="1">
      <alignment horizontal="center" vertical="center" wrapText="1"/>
    </xf>
    <xf numFmtId="4" fontId="22" fillId="20" borderId="10" xfId="0" applyNumberFormat="1" applyFont="1" applyFill="1" applyBorder="1" applyAlignment="1">
      <alignment horizontal="center" vertical="center"/>
    </xf>
    <xf numFmtId="0" fontId="26" fillId="20" borderId="10" xfId="0" applyFont="1" applyFill="1" applyBorder="1" applyAlignment="1">
      <alignment horizontal="center" vertical="center" wrapText="1"/>
    </xf>
    <xf numFmtId="4" fontId="22" fillId="20" borderId="11" xfId="0" applyNumberFormat="1" applyFont="1" applyFill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164" fontId="19" fillId="0" borderId="19" xfId="0" applyNumberFormat="1" applyFont="1" applyBorder="1" applyAlignment="1">
      <alignment horizontal="center" vertical="center"/>
    </xf>
    <xf numFmtId="164" fontId="19" fillId="0" borderId="11" xfId="0" applyNumberFormat="1" applyFont="1" applyBorder="1" applyAlignment="1">
      <alignment horizontal="center" vertical="center"/>
    </xf>
    <xf numFmtId="164" fontId="19" fillId="0" borderId="11" xfId="0" applyNumberFormat="1" applyFont="1" applyBorder="1" applyAlignment="1">
      <alignment horizontal="center" vertical="center" wrapText="1"/>
    </xf>
    <xf numFmtId="4" fontId="19" fillId="0" borderId="11" xfId="0" applyNumberFormat="1" applyFont="1" applyBorder="1" applyAlignment="1">
      <alignment horizontal="center" vertical="center"/>
    </xf>
    <xf numFmtId="164" fontId="19" fillId="0" borderId="28" xfId="0" applyNumberFormat="1" applyFont="1" applyBorder="1" applyAlignment="1">
      <alignment horizontal="center" vertical="center"/>
    </xf>
    <xf numFmtId="164" fontId="19" fillId="0" borderId="15" xfId="0" applyNumberFormat="1" applyFont="1" applyBorder="1" applyAlignment="1">
      <alignment horizontal="center" vertical="center"/>
    </xf>
    <xf numFmtId="164" fontId="19" fillId="0" borderId="10" xfId="0" applyNumberFormat="1" applyFont="1" applyBorder="1" applyAlignment="1">
      <alignment horizontal="center" vertical="center"/>
    </xf>
    <xf numFmtId="4" fontId="19" fillId="0" borderId="0" xfId="0" applyNumberFormat="1" applyFont="1" applyAlignment="1">
      <alignment horizontal="center" vertical="center"/>
    </xf>
    <xf numFmtId="0" fontId="44" fillId="18" borderId="11" xfId="0" applyFont="1" applyFill="1" applyBorder="1" applyAlignment="1">
      <alignment horizontal="center" vertical="center" wrapText="1"/>
    </xf>
    <xf numFmtId="4" fontId="31" fillId="0" borderId="10" xfId="0" applyNumberFormat="1" applyFont="1" applyBorder="1" applyAlignment="1">
      <alignment horizontal="center" vertical="center" wrapText="1"/>
    </xf>
    <xf numFmtId="0" fontId="44" fillId="18" borderId="10" xfId="0" applyFont="1" applyFill="1" applyBorder="1" applyAlignment="1">
      <alignment horizontal="center" vertical="center" wrapText="1"/>
    </xf>
    <xf numFmtId="164" fontId="23" fillId="0" borderId="13" xfId="0" applyNumberFormat="1" applyFont="1" applyBorder="1" applyAlignment="1">
      <alignment horizontal="center" vertical="center"/>
    </xf>
    <xf numFmtId="4" fontId="24" fillId="0" borderId="0" xfId="0" applyNumberFormat="1" applyFont="1" applyAlignment="1">
      <alignment horizontal="right" vertical="center"/>
    </xf>
    <xf numFmtId="9" fontId="45" fillId="0" borderId="0" xfId="0" applyNumberFormat="1" applyFont="1" applyAlignment="1">
      <alignment horizontal="left" vertical="center"/>
    </xf>
    <xf numFmtId="0" fontId="27" fillId="0" borderId="0" xfId="0" applyFont="1" applyAlignment="1">
      <alignment horizontal="center" vertical="center" wrapText="1"/>
    </xf>
    <xf numFmtId="164" fontId="19" fillId="0" borderId="33" xfId="0" applyNumberFormat="1" applyFont="1" applyBorder="1" applyAlignment="1">
      <alignment horizontal="center" vertical="center" wrapText="1"/>
    </xf>
    <xf numFmtId="0" fontId="23" fillId="20" borderId="10" xfId="0" applyFont="1" applyFill="1" applyBorder="1" applyAlignment="1">
      <alignment horizontal="center" vertical="center" wrapText="1"/>
    </xf>
    <xf numFmtId="164" fontId="19" fillId="21" borderId="10" xfId="0" applyNumberFormat="1" applyFont="1" applyFill="1" applyBorder="1" applyAlignment="1">
      <alignment horizontal="center" vertical="center"/>
    </xf>
    <xf numFmtId="4" fontId="31" fillId="0" borderId="11" xfId="0" applyNumberFormat="1" applyFont="1" applyBorder="1" applyAlignment="1">
      <alignment horizontal="center" vertical="center" wrapText="1"/>
    </xf>
    <xf numFmtId="4" fontId="31" fillId="0" borderId="36" xfId="0" applyNumberFormat="1" applyFont="1" applyBorder="1" applyAlignment="1">
      <alignment horizontal="center" vertical="center" wrapText="1"/>
    </xf>
    <xf numFmtId="164" fontId="31" fillId="0" borderId="13" xfId="0" applyNumberFormat="1" applyFont="1" applyBorder="1" applyAlignment="1">
      <alignment horizontal="center" vertical="center" wrapText="1"/>
    </xf>
    <xf numFmtId="14" fontId="23" fillId="23" borderId="10" xfId="0" applyNumberFormat="1" applyFont="1" applyFill="1" applyBorder="1" applyAlignment="1">
      <alignment horizontal="center" vertical="center" wrapText="1"/>
    </xf>
    <xf numFmtId="4" fontId="23" fillId="23" borderId="10" xfId="0" applyNumberFormat="1" applyFont="1" applyFill="1" applyBorder="1" applyAlignment="1">
      <alignment horizontal="center" vertical="center" wrapText="1"/>
    </xf>
    <xf numFmtId="4" fontId="22" fillId="23" borderId="19" xfId="0" applyNumberFormat="1" applyFont="1" applyFill="1" applyBorder="1" applyAlignment="1">
      <alignment horizontal="center" vertical="center"/>
    </xf>
    <xf numFmtId="4" fontId="19" fillId="23" borderId="15" xfId="0" applyNumberFormat="1" applyFont="1" applyFill="1" applyBorder="1" applyAlignment="1">
      <alignment horizontal="center" vertical="center"/>
    </xf>
    <xf numFmtId="4" fontId="22" fillId="23" borderId="15" xfId="0" applyNumberFormat="1" applyFont="1" applyFill="1" applyBorder="1" applyAlignment="1">
      <alignment horizontal="center" vertical="center"/>
    </xf>
    <xf numFmtId="4" fontId="23" fillId="23" borderId="10" xfId="0" applyNumberFormat="1" applyFont="1" applyFill="1" applyBorder="1" applyAlignment="1">
      <alignment horizontal="center" vertical="center"/>
    </xf>
    <xf numFmtId="4" fontId="40" fillId="23" borderId="10" xfId="0" applyNumberFormat="1" applyFont="1" applyFill="1" applyBorder="1" applyAlignment="1">
      <alignment horizontal="center" vertical="center" wrapText="1"/>
    </xf>
    <xf numFmtId="164" fontId="19" fillId="23" borderId="26" xfId="0" applyNumberFormat="1" applyFont="1" applyFill="1" applyBorder="1" applyAlignment="1">
      <alignment horizontal="center" vertical="center" wrapText="1"/>
    </xf>
    <xf numFmtId="164" fontId="23" fillId="23" borderId="10" xfId="0" applyNumberFormat="1" applyFont="1" applyFill="1" applyBorder="1" applyAlignment="1">
      <alignment horizontal="center" vertical="center" wrapText="1"/>
    </xf>
    <xf numFmtId="164" fontId="40" fillId="23" borderId="10" xfId="0" applyNumberFormat="1" applyFont="1" applyFill="1" applyBorder="1" applyAlignment="1">
      <alignment horizontal="center" vertical="center" wrapText="1"/>
    </xf>
    <xf numFmtId="4" fontId="23" fillId="23" borderId="12" xfId="0" applyNumberFormat="1" applyFont="1" applyFill="1" applyBorder="1" applyAlignment="1">
      <alignment horizontal="center" vertical="center" wrapText="1"/>
    </xf>
    <xf numFmtId="164" fontId="23" fillId="23" borderId="13" xfId="0" applyNumberFormat="1" applyFont="1" applyFill="1" applyBorder="1" applyAlignment="1">
      <alignment horizontal="center" vertical="center" wrapText="1"/>
    </xf>
    <xf numFmtId="164" fontId="22" fillId="0" borderId="13" xfId="0" applyNumberFormat="1" applyFont="1" applyBorder="1" applyAlignment="1">
      <alignment horizontal="center" vertical="center" wrapText="1"/>
    </xf>
    <xf numFmtId="0" fontId="26" fillId="19" borderId="35" xfId="0" applyFont="1" applyFill="1" applyBorder="1" applyAlignment="1">
      <alignment horizontal="center" vertical="center" wrapText="1"/>
    </xf>
    <xf numFmtId="164" fontId="19" fillId="24" borderId="18" xfId="0" applyNumberFormat="1" applyFont="1" applyFill="1" applyBorder="1" applyAlignment="1">
      <alignment horizontal="center" vertical="center" wrapText="1"/>
    </xf>
    <xf numFmtId="164" fontId="47" fillId="22" borderId="13" xfId="0" applyNumberFormat="1" applyFont="1" applyFill="1" applyBorder="1" applyAlignment="1">
      <alignment horizontal="center" vertical="center"/>
    </xf>
    <xf numFmtId="4" fontId="19" fillId="24" borderId="18" xfId="0" applyNumberFormat="1" applyFont="1" applyFill="1" applyBorder="1" applyAlignment="1">
      <alignment horizontal="center" vertical="center"/>
    </xf>
    <xf numFmtId="4" fontId="19" fillId="24" borderId="29" xfId="0" applyNumberFormat="1" applyFont="1" applyFill="1" applyBorder="1" applyAlignment="1">
      <alignment horizontal="center" vertical="center"/>
    </xf>
    <xf numFmtId="4" fontId="23" fillId="23" borderId="13" xfId="0" applyNumberFormat="1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/>
    </xf>
    <xf numFmtId="164" fontId="46" fillId="0" borderId="15" xfId="0" applyNumberFormat="1" applyFont="1" applyBorder="1" applyAlignment="1">
      <alignment horizontal="center" vertical="center" wrapText="1"/>
    </xf>
    <xf numFmtId="164" fontId="46" fillId="0" borderId="26" xfId="0" applyNumberFormat="1" applyFont="1" applyBorder="1" applyAlignment="1">
      <alignment horizontal="center" vertical="center" wrapText="1"/>
    </xf>
    <xf numFmtId="4" fontId="36" fillId="0" borderId="0" xfId="0" applyNumberFormat="1" applyFont="1" applyAlignment="1">
      <alignment horizontal="center" vertical="center" wrapText="1"/>
    </xf>
    <xf numFmtId="4" fontId="19" fillId="24" borderId="21" xfId="0" applyNumberFormat="1" applyFont="1" applyFill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 wrapText="1"/>
    </xf>
    <xf numFmtId="164" fontId="27" fillId="0" borderId="26" xfId="0" applyNumberFormat="1" applyFont="1" applyBorder="1" applyAlignment="1">
      <alignment horizontal="center" vertical="center" wrapText="1"/>
    </xf>
    <xf numFmtId="9" fontId="23" fillId="0" borderId="13" xfId="0" applyNumberFormat="1" applyFont="1" applyBorder="1" applyAlignment="1">
      <alignment horizontal="center" vertical="center" wrapText="1"/>
    </xf>
    <xf numFmtId="164" fontId="19" fillId="0" borderId="10" xfId="0" applyNumberFormat="1" applyFont="1" applyBorder="1" applyAlignment="1">
      <alignment vertical="center"/>
    </xf>
    <xf numFmtId="4" fontId="46" fillId="0" borderId="10" xfId="0" applyNumberFormat="1" applyFont="1" applyBorder="1" applyAlignment="1">
      <alignment horizontal="center" vertical="center" wrapText="1"/>
    </xf>
    <xf numFmtId="4" fontId="46" fillId="0" borderId="17" xfId="0" applyNumberFormat="1" applyFont="1" applyBorder="1" applyAlignment="1">
      <alignment horizontal="center" vertical="center" wrapText="1"/>
    </xf>
    <xf numFmtId="164" fontId="46" fillId="22" borderId="13" xfId="0" applyNumberFormat="1" applyFont="1" applyFill="1" applyBorder="1" applyAlignment="1">
      <alignment horizontal="center" vertical="center" wrapText="1"/>
    </xf>
    <xf numFmtId="4" fontId="22" fillId="20" borderId="27" xfId="0" applyNumberFormat="1" applyFont="1" applyFill="1" applyBorder="1" applyAlignment="1">
      <alignment horizontal="center" vertical="center"/>
    </xf>
    <xf numFmtId="4" fontId="48" fillId="0" borderId="0" xfId="0" applyNumberFormat="1" applyFont="1" applyAlignment="1">
      <alignment horizontal="center" vertical="center" wrapText="1"/>
    </xf>
    <xf numFmtId="4" fontId="24" fillId="0" borderId="0" xfId="0" applyNumberFormat="1" applyFont="1" applyAlignment="1">
      <alignment vertical="center" wrapText="1"/>
    </xf>
    <xf numFmtId="164" fontId="46" fillId="0" borderId="13" xfId="0" applyNumberFormat="1" applyFont="1" applyBorder="1" applyAlignment="1">
      <alignment horizontal="center" vertical="center" wrapText="1"/>
    </xf>
    <xf numFmtId="0" fontId="48" fillId="0" borderId="16" xfId="0" applyFont="1" applyBorder="1" applyAlignment="1">
      <alignment horizontal="right" vertical="center"/>
    </xf>
    <xf numFmtId="4" fontId="23" fillId="0" borderId="0" xfId="85" applyNumberFormat="1" applyFont="1" applyAlignment="1">
      <alignment horizontal="center" vertical="center" wrapText="1"/>
    </xf>
    <xf numFmtId="164" fontId="23" fillId="21" borderId="10" xfId="0" applyNumberFormat="1" applyFont="1" applyFill="1" applyBorder="1" applyAlignment="1">
      <alignment horizontal="center" vertical="center" wrapText="1"/>
    </xf>
    <xf numFmtId="164" fontId="49" fillId="22" borderId="13" xfId="0" applyNumberFormat="1" applyFont="1" applyFill="1" applyBorder="1" applyAlignment="1">
      <alignment horizontal="center" vertical="center" wrapText="1"/>
    </xf>
    <xf numFmtId="164" fontId="50" fillId="22" borderId="13" xfId="0" applyNumberFormat="1" applyFont="1" applyFill="1" applyBorder="1" applyAlignment="1">
      <alignment horizontal="center" vertical="center"/>
    </xf>
    <xf numFmtId="164" fontId="23" fillId="21" borderId="10" xfId="0" applyNumberFormat="1" applyFont="1" applyFill="1" applyBorder="1" applyAlignment="1">
      <alignment horizontal="center" vertical="center"/>
    </xf>
    <xf numFmtId="4" fontId="19" fillId="23" borderId="14" xfId="0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4" fontId="49" fillId="0" borderId="10" xfId="0" applyNumberFormat="1" applyFont="1" applyBorder="1" applyAlignment="1">
      <alignment horizontal="center" vertical="center" wrapText="1"/>
    </xf>
    <xf numFmtId="4" fontId="49" fillId="0" borderId="17" xfId="0" applyNumberFormat="1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/>
    </xf>
    <xf numFmtId="4" fontId="19" fillId="0" borderId="31" xfId="0" applyNumberFormat="1" applyFont="1" applyBorder="1" applyAlignment="1">
      <alignment horizontal="center" vertical="center"/>
    </xf>
    <xf numFmtId="4" fontId="19" fillId="0" borderId="0" xfId="0" applyNumberFormat="1" applyFont="1" applyAlignment="1">
      <alignment horizontal="left" vertical="center" wrapText="1"/>
    </xf>
    <xf numFmtId="4" fontId="19" fillId="21" borderId="27" xfId="0" applyNumberFormat="1" applyFont="1" applyFill="1" applyBorder="1" applyAlignment="1">
      <alignment horizontal="center" vertical="center"/>
    </xf>
    <xf numFmtId="4" fontId="19" fillId="20" borderId="11" xfId="0" applyNumberFormat="1" applyFont="1" applyFill="1" applyBorder="1" applyAlignment="1">
      <alignment horizontal="center" vertical="center"/>
    </xf>
    <xf numFmtId="4" fontId="19" fillId="20" borderId="10" xfId="0" applyNumberFormat="1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4" fontId="19" fillId="21" borderId="12" xfId="0" applyNumberFormat="1" applyFont="1" applyFill="1" applyBorder="1" applyAlignment="1">
      <alignment horizontal="center" vertical="center" wrapText="1"/>
    </xf>
    <xf numFmtId="4" fontId="19" fillId="0" borderId="27" xfId="0" applyNumberFormat="1" applyFont="1" applyBorder="1" applyAlignment="1">
      <alignment horizontal="center" vertical="center"/>
    </xf>
    <xf numFmtId="4" fontId="19" fillId="20" borderId="27" xfId="0" applyNumberFormat="1" applyFont="1" applyFill="1" applyBorder="1" applyAlignment="1">
      <alignment horizontal="center" vertical="center"/>
    </xf>
    <xf numFmtId="9" fontId="19" fillId="0" borderId="0" xfId="0" applyNumberFormat="1" applyFont="1" applyAlignment="1">
      <alignment horizontal="center" vertical="center"/>
    </xf>
    <xf numFmtId="4" fontId="19" fillId="0" borderId="0" xfId="0" applyNumberFormat="1" applyFont="1" applyAlignment="1">
      <alignment horizontal="center" vertical="center" wrapText="1"/>
    </xf>
    <xf numFmtId="164" fontId="19" fillId="0" borderId="13" xfId="0" applyNumberFormat="1" applyFont="1" applyBorder="1" applyAlignment="1">
      <alignment horizontal="center" vertical="center" wrapText="1"/>
    </xf>
    <xf numFmtId="4" fontId="19" fillId="23" borderId="19" xfId="0" applyNumberFormat="1" applyFont="1" applyFill="1" applyBorder="1" applyAlignment="1">
      <alignment horizontal="center" vertical="center"/>
    </xf>
    <xf numFmtId="164" fontId="19" fillId="0" borderId="34" xfId="0" applyNumberFormat="1" applyFont="1" applyBorder="1" applyAlignment="1">
      <alignment horizontal="center" vertical="center" wrapText="1"/>
    </xf>
    <xf numFmtId="4" fontId="19" fillId="0" borderId="35" xfId="0" applyNumberFormat="1" applyFont="1" applyBorder="1" applyAlignment="1">
      <alignment horizontal="center" vertical="center"/>
    </xf>
    <xf numFmtId="164" fontId="49" fillId="0" borderId="13" xfId="0" applyNumberFormat="1" applyFont="1" applyBorder="1" applyAlignment="1">
      <alignment horizontal="center" vertical="center" wrapText="1"/>
    </xf>
    <xf numFmtId="165" fontId="19" fillId="0" borderId="0" xfId="0" applyNumberFormat="1" applyFont="1" applyAlignment="1">
      <alignment horizontal="center" vertical="center"/>
    </xf>
    <xf numFmtId="4" fontId="19" fillId="0" borderId="14" xfId="0" applyNumberFormat="1" applyFont="1" applyBorder="1" applyAlignment="1">
      <alignment horizontal="center" vertical="center"/>
    </xf>
    <xf numFmtId="4" fontId="19" fillId="21" borderId="10" xfId="0" applyNumberFormat="1" applyFont="1" applyFill="1" applyBorder="1" applyAlignment="1">
      <alignment horizontal="center" vertical="center" wrapText="1"/>
    </xf>
    <xf numFmtId="14" fontId="19" fillId="0" borderId="0" xfId="0" applyNumberFormat="1" applyFont="1" applyAlignment="1">
      <alignment horizontal="center" vertical="center"/>
    </xf>
    <xf numFmtId="4" fontId="51" fillId="0" borderId="0" xfId="0" applyNumberFormat="1" applyFont="1" applyAlignment="1">
      <alignment horizontal="center" vertical="center" wrapText="1"/>
    </xf>
    <xf numFmtId="164" fontId="27" fillId="22" borderId="19" xfId="0" applyNumberFormat="1" applyFont="1" applyFill="1" applyBorder="1" applyAlignment="1">
      <alignment horizontal="center" vertical="center"/>
    </xf>
    <xf numFmtId="164" fontId="19" fillId="22" borderId="23" xfId="0" applyNumberFormat="1" applyFont="1" applyFill="1" applyBorder="1" applyAlignment="1">
      <alignment horizontal="center" vertical="center"/>
    </xf>
    <xf numFmtId="164" fontId="23" fillId="21" borderId="19" xfId="0" applyNumberFormat="1" applyFont="1" applyFill="1" applyBorder="1" applyAlignment="1">
      <alignment horizontal="center" vertical="center"/>
    </xf>
    <xf numFmtId="9" fontId="22" fillId="0" borderId="0" xfId="0" applyNumberFormat="1" applyFont="1" applyAlignment="1">
      <alignment horizontal="center" vertical="center"/>
    </xf>
    <xf numFmtId="164" fontId="22" fillId="22" borderId="13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23" fillId="19" borderId="40" xfId="0" applyFont="1" applyFill="1" applyBorder="1" applyAlignment="1">
      <alignment horizontal="center" vertical="center" wrapText="1"/>
    </xf>
    <xf numFmtId="0" fontId="26" fillId="19" borderId="41" xfId="0" applyFont="1" applyFill="1" applyBorder="1" applyAlignment="1">
      <alignment horizontal="center" vertical="center" wrapText="1"/>
    </xf>
    <xf numFmtId="4" fontId="22" fillId="0" borderId="40" xfId="0" applyNumberFormat="1" applyFont="1" applyBorder="1" applyAlignment="1">
      <alignment horizontal="center" vertical="center"/>
    </xf>
    <xf numFmtId="4" fontId="19" fillId="0" borderId="40" xfId="0" applyNumberFormat="1" applyFont="1" applyBorder="1" applyAlignment="1">
      <alignment horizontal="center" vertical="center"/>
    </xf>
    <xf numFmtId="4" fontId="22" fillId="0" borderId="41" xfId="0" applyNumberFormat="1" applyFont="1" applyBorder="1" applyAlignment="1">
      <alignment horizontal="center" vertical="center"/>
    </xf>
    <xf numFmtId="0" fontId="26" fillId="19" borderId="14" xfId="0" applyFont="1" applyFill="1" applyBorder="1" applyAlignment="1">
      <alignment horizontal="center" vertical="center" wrapText="1"/>
    </xf>
    <xf numFmtId="49" fontId="23" fillId="0" borderId="36" xfId="0" applyNumberFormat="1" applyFont="1" applyBorder="1" applyAlignment="1">
      <alignment vertical="center"/>
    </xf>
    <xf numFmtId="4" fontId="40" fillId="0" borderId="0" xfId="0" applyNumberFormat="1" applyFont="1" applyAlignment="1">
      <alignment horizontal="center" vertical="center" wrapText="1"/>
    </xf>
    <xf numFmtId="4" fontId="23" fillId="0" borderId="16" xfId="0" applyNumberFormat="1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164" fontId="22" fillId="25" borderId="13" xfId="0" applyNumberFormat="1" applyFont="1" applyFill="1" applyBorder="1" applyAlignment="1">
      <alignment horizontal="center" vertical="center" wrapText="1"/>
    </xf>
    <xf numFmtId="164" fontId="19" fillId="25" borderId="13" xfId="0" applyNumberFormat="1" applyFont="1" applyFill="1" applyBorder="1" applyAlignment="1">
      <alignment horizontal="center" vertical="center" wrapText="1"/>
    </xf>
    <xf numFmtId="164" fontId="19" fillId="25" borderId="39" xfId="0" applyNumberFormat="1" applyFont="1" applyFill="1" applyBorder="1" applyAlignment="1">
      <alignment horizontal="center" vertical="center" wrapText="1"/>
    </xf>
    <xf numFmtId="164" fontId="23" fillId="24" borderId="18" xfId="0" applyNumberFormat="1" applyFont="1" applyFill="1" applyBorder="1" applyAlignment="1">
      <alignment horizontal="center" vertical="center" wrapText="1"/>
    </xf>
    <xf numFmtId="4" fontId="23" fillId="24" borderId="18" xfId="0" applyNumberFormat="1" applyFont="1" applyFill="1" applyBorder="1" applyAlignment="1">
      <alignment horizontal="center" vertical="center"/>
    </xf>
    <xf numFmtId="9" fontId="52" fillId="0" borderId="10" xfId="0" applyNumberFormat="1" applyFont="1" applyBorder="1" applyAlignment="1">
      <alignment horizontal="center" vertical="center" wrapText="1"/>
    </xf>
    <xf numFmtId="164" fontId="23" fillId="0" borderId="10" xfId="0" applyNumberFormat="1" applyFont="1" applyBorder="1" applyAlignment="1">
      <alignment horizontal="left" vertical="center" wrapText="1"/>
    </xf>
    <xf numFmtId="164" fontId="53" fillId="0" borderId="15" xfId="0" applyNumberFormat="1" applyFont="1" applyBorder="1" applyAlignment="1">
      <alignment horizontal="center" vertical="center"/>
    </xf>
    <xf numFmtId="164" fontId="53" fillId="0" borderId="10" xfId="0" applyNumberFormat="1" applyFont="1" applyBorder="1" applyAlignment="1">
      <alignment horizontal="center" vertical="center"/>
    </xf>
    <xf numFmtId="164" fontId="53" fillId="0" borderId="10" xfId="0" applyNumberFormat="1" applyFont="1" applyBorder="1" applyAlignment="1">
      <alignment horizontal="center" vertical="center" wrapText="1"/>
    </xf>
    <xf numFmtId="4" fontId="53" fillId="0" borderId="0" xfId="0" applyNumberFormat="1" applyFont="1" applyAlignment="1">
      <alignment horizontal="center" vertical="center"/>
    </xf>
    <xf numFmtId="164" fontId="53" fillId="0" borderId="17" xfId="0" applyNumberFormat="1" applyFont="1" applyBorder="1" applyAlignment="1">
      <alignment horizontal="center" vertical="center"/>
    </xf>
    <xf numFmtId="164" fontId="53" fillId="22" borderId="13" xfId="0" applyNumberFormat="1" applyFont="1" applyFill="1" applyBorder="1" applyAlignment="1">
      <alignment horizontal="center" vertical="center" wrapText="1"/>
    </xf>
    <xf numFmtId="165" fontId="23" fillId="23" borderId="14" xfId="0" applyNumberFormat="1" applyFont="1" applyFill="1" applyBorder="1" applyAlignment="1">
      <alignment horizontal="center" vertical="center" wrapText="1"/>
    </xf>
    <xf numFmtId="165" fontId="23" fillId="23" borderId="11" xfId="0" applyNumberFormat="1" applyFont="1" applyFill="1" applyBorder="1" applyAlignment="1">
      <alignment horizontal="center" vertical="center" wrapText="1"/>
    </xf>
    <xf numFmtId="0" fontId="23" fillId="22" borderId="16" xfId="0" applyFont="1" applyFill="1" applyBorder="1" applyAlignment="1">
      <alignment horizontal="center" vertical="center" wrapText="1"/>
    </xf>
    <xf numFmtId="0" fontId="23" fillId="22" borderId="23" xfId="0" applyFont="1" applyFill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49" fontId="23" fillId="0" borderId="12" xfId="0" applyNumberFormat="1" applyFont="1" applyBorder="1" applyAlignment="1">
      <alignment horizontal="center" vertical="center"/>
    </xf>
    <xf numFmtId="49" fontId="23" fillId="0" borderId="26" xfId="0" applyNumberFormat="1" applyFont="1" applyBorder="1" applyAlignment="1">
      <alignment horizontal="center" vertical="center"/>
    </xf>
    <xf numFmtId="49" fontId="23" fillId="0" borderId="15" xfId="0" applyNumberFormat="1" applyFont="1" applyBorder="1" applyAlignment="1">
      <alignment horizontal="center" vertical="center"/>
    </xf>
    <xf numFmtId="0" fontId="23" fillId="22" borderId="37" xfId="0" applyFont="1" applyFill="1" applyBorder="1" applyAlignment="1">
      <alignment horizontal="center" vertical="center" wrapText="1"/>
    </xf>
    <xf numFmtId="0" fontId="23" fillId="22" borderId="38" xfId="0" applyFont="1" applyFill="1" applyBorder="1" applyAlignment="1">
      <alignment horizontal="center" vertical="center" wrapText="1"/>
    </xf>
    <xf numFmtId="4" fontId="24" fillId="0" borderId="0" xfId="0" applyNumberFormat="1" applyFont="1" applyAlignment="1">
      <alignment horizontal="right" vertical="center" wrapText="1"/>
    </xf>
    <xf numFmtId="2" fontId="23" fillId="23" borderId="24" xfId="0" applyNumberFormat="1" applyFont="1" applyFill="1" applyBorder="1" applyAlignment="1">
      <alignment horizontal="center" vertical="center" wrapText="1"/>
    </xf>
    <xf numFmtId="2" fontId="23" fillId="23" borderId="25" xfId="0" applyNumberFormat="1" applyFont="1" applyFill="1" applyBorder="1" applyAlignment="1">
      <alignment horizontal="center" vertical="center" wrapText="1"/>
    </xf>
    <xf numFmtId="0" fontId="23" fillId="23" borderId="10" xfId="0" applyFont="1" applyFill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/>
    </xf>
    <xf numFmtId="0" fontId="23" fillId="21" borderId="10" xfId="0" applyFont="1" applyFill="1" applyBorder="1" applyAlignment="1">
      <alignment horizontal="center" vertical="center" wrapText="1"/>
    </xf>
    <xf numFmtId="0" fontId="23" fillId="24" borderId="20" xfId="0" applyFont="1" applyFill="1" applyBorder="1" applyAlignment="1">
      <alignment horizontal="center" vertical="center" wrapText="1"/>
    </xf>
    <xf numFmtId="0" fontId="23" fillId="24" borderId="21" xfId="0" applyFont="1" applyFill="1" applyBorder="1" applyAlignment="1">
      <alignment horizontal="center" vertical="center" wrapText="1"/>
    </xf>
    <xf numFmtId="0" fontId="23" fillId="23" borderId="14" xfId="0" applyFont="1" applyFill="1" applyBorder="1" applyAlignment="1">
      <alignment horizontal="center" vertical="center" wrapText="1"/>
    </xf>
    <xf numFmtId="0" fontId="23" fillId="23" borderId="11" xfId="0" applyFont="1" applyFill="1" applyBorder="1" applyAlignment="1">
      <alignment horizontal="center" vertical="center" wrapText="1"/>
    </xf>
    <xf numFmtId="0" fontId="48" fillId="0" borderId="0" xfId="0" applyFont="1" applyAlignment="1">
      <alignment horizontal="right" vertical="center"/>
    </xf>
    <xf numFmtId="49" fontId="23" fillId="0" borderId="10" xfId="0" applyNumberFormat="1" applyFont="1" applyBorder="1" applyAlignment="1">
      <alignment horizontal="center" vertical="center"/>
    </xf>
    <xf numFmtId="0" fontId="23" fillId="21" borderId="22" xfId="0" applyFont="1" applyFill="1" applyBorder="1" applyAlignment="1">
      <alignment horizontal="center" vertical="center" wrapText="1"/>
    </xf>
    <xf numFmtId="0" fontId="23" fillId="21" borderId="19" xfId="0" applyFont="1" applyFill="1" applyBorder="1" applyAlignment="1">
      <alignment horizontal="center" vertical="center" wrapText="1"/>
    </xf>
  </cellXfs>
  <cellStyles count="86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20% - Accent1" xfId="7" xr:uid="{00000000-0005-0000-0000-000006000000}"/>
    <cellStyle name="20% - Accent2" xfId="8" xr:uid="{00000000-0005-0000-0000-000007000000}"/>
    <cellStyle name="20% - Accent3" xfId="9" xr:uid="{00000000-0005-0000-0000-000008000000}"/>
    <cellStyle name="20% - Accent4" xfId="10" xr:uid="{00000000-0005-0000-0000-000009000000}"/>
    <cellStyle name="20% - Accent5" xfId="11" xr:uid="{00000000-0005-0000-0000-00000A000000}"/>
    <cellStyle name="20% - Accent6" xfId="12" xr:uid="{00000000-0005-0000-0000-00000B000000}"/>
    <cellStyle name="40 % – Zvýraznění 1" xfId="13" builtinId="31" customBuiltin="1"/>
    <cellStyle name="40 % – Zvýraznění 2" xfId="14" builtinId="35" customBuiltin="1"/>
    <cellStyle name="40 % – Zvýraznění 3" xfId="15" builtinId="39" customBuiltin="1"/>
    <cellStyle name="40 % – Zvýraznění 4" xfId="16" builtinId="43" customBuiltin="1"/>
    <cellStyle name="40 % – Zvýraznění 5" xfId="17" builtinId="47" customBuiltin="1"/>
    <cellStyle name="40 % – Zvýraznění 6" xfId="18" builtinId="51" customBuiltin="1"/>
    <cellStyle name="40% - Accent1" xfId="19" xr:uid="{00000000-0005-0000-0000-000012000000}"/>
    <cellStyle name="40% - Accent2" xfId="20" xr:uid="{00000000-0005-0000-0000-000013000000}"/>
    <cellStyle name="40% - Accent3" xfId="21" xr:uid="{00000000-0005-0000-0000-000014000000}"/>
    <cellStyle name="40% - Accent4" xfId="22" xr:uid="{00000000-0005-0000-0000-000015000000}"/>
    <cellStyle name="40% - Accent5" xfId="23" xr:uid="{00000000-0005-0000-0000-000016000000}"/>
    <cellStyle name="40% - Accent6" xfId="24" xr:uid="{00000000-0005-0000-0000-000017000000}"/>
    <cellStyle name="60 % – Zvýraznění 1" xfId="25" builtinId="32" customBuiltin="1"/>
    <cellStyle name="60 % – Zvýraznění 2" xfId="26" builtinId="36" customBuiltin="1"/>
    <cellStyle name="60 % – Zvýraznění 3" xfId="27" builtinId="40" customBuiltin="1"/>
    <cellStyle name="60 % – Zvýraznění 4" xfId="28" builtinId="44" customBuiltin="1"/>
    <cellStyle name="60 % – Zvýraznění 5" xfId="29" builtinId="48" customBuiltin="1"/>
    <cellStyle name="60 % – Zvýraznění 6" xfId="30" builtinId="52" customBuiltin="1"/>
    <cellStyle name="60% - Accent1" xfId="31" xr:uid="{00000000-0005-0000-0000-00001E000000}"/>
    <cellStyle name="60% - Accent2" xfId="32" xr:uid="{00000000-0005-0000-0000-00001F000000}"/>
    <cellStyle name="60% - Accent3" xfId="33" xr:uid="{00000000-0005-0000-0000-000020000000}"/>
    <cellStyle name="60% - Accent4" xfId="34" xr:uid="{00000000-0005-0000-0000-000021000000}"/>
    <cellStyle name="60% - Accent5" xfId="35" xr:uid="{00000000-0005-0000-0000-000022000000}"/>
    <cellStyle name="60% - Accent6" xfId="36" xr:uid="{00000000-0005-0000-0000-000023000000}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Bad" xfId="43" xr:uid="{00000000-0005-0000-0000-00002A000000}"/>
    <cellStyle name="Calculation" xfId="44" xr:uid="{00000000-0005-0000-0000-00002B000000}"/>
    <cellStyle name="Celkem" xfId="45" builtinId="25" customBuiltin="1"/>
    <cellStyle name="Explanatory Text" xfId="46" xr:uid="{00000000-0005-0000-0000-00002D000000}"/>
    <cellStyle name="Good" xfId="47" xr:uid="{00000000-0005-0000-0000-00002E000000}"/>
    <cellStyle name="Heading 1" xfId="48" xr:uid="{00000000-0005-0000-0000-00002F000000}"/>
    <cellStyle name="Heading 2" xfId="49" xr:uid="{00000000-0005-0000-0000-000030000000}"/>
    <cellStyle name="Heading 3" xfId="50" xr:uid="{00000000-0005-0000-0000-000031000000}"/>
    <cellStyle name="Heading 4" xfId="51" xr:uid="{00000000-0005-0000-0000-000032000000}"/>
    <cellStyle name="Check Cell" xfId="52" xr:uid="{00000000-0005-0000-0000-000033000000}"/>
    <cellStyle name="Chybně" xfId="53" xr:uid="{00000000-0005-0000-0000-000034000000}"/>
    <cellStyle name="Input" xfId="54" xr:uid="{00000000-0005-0000-0000-000035000000}"/>
    <cellStyle name="Kontrolní buňka" xfId="55" builtinId="23" customBuiltin="1"/>
    <cellStyle name="Linked Cell" xfId="56" xr:uid="{00000000-0005-0000-0000-000037000000}"/>
    <cellStyle name="Měna" xfId="83" builtinId="4"/>
    <cellStyle name="Měna 2" xfId="85" xr:uid="{00000000-0005-0000-0000-000038000000}"/>
    <cellStyle name="Nadpis 1" xfId="57" builtinId="16" customBuiltin="1"/>
    <cellStyle name="Nadpis 2" xfId="58" builtinId="17" customBuiltin="1"/>
    <cellStyle name="Nadpis 3" xfId="59" builtinId="18" customBuiltin="1"/>
    <cellStyle name="Nadpis 4" xfId="60" builtinId="19" customBuiltin="1"/>
    <cellStyle name="Název" xfId="61" builtinId="15" customBuiltin="1"/>
    <cellStyle name="Neutral" xfId="62" xr:uid="{00000000-0005-0000-0000-00003F000000}"/>
    <cellStyle name="Neutrální" xfId="63" builtinId="28" customBuiltin="1"/>
    <cellStyle name="Normální" xfId="0" builtinId="0"/>
    <cellStyle name="Normální 2" xfId="84" xr:uid="{00000000-0005-0000-0000-000042000000}"/>
    <cellStyle name="Note" xfId="64" xr:uid="{00000000-0005-0000-0000-000043000000}"/>
    <cellStyle name="Output" xfId="65" xr:uid="{00000000-0005-0000-0000-000044000000}"/>
    <cellStyle name="Poznámka" xfId="66" builtinId="10" customBuiltin="1"/>
    <cellStyle name="Propojená buňka" xfId="67" builtinId="24" customBuiltin="1"/>
    <cellStyle name="Správně" xfId="68" builtinId="26" customBuiltin="1"/>
    <cellStyle name="Text upozornění" xfId="69" builtinId="11" customBuiltin="1"/>
    <cellStyle name="Title" xfId="70" xr:uid="{00000000-0005-0000-0000-000049000000}"/>
    <cellStyle name="Total" xfId="71" xr:uid="{00000000-0005-0000-0000-00004A000000}"/>
    <cellStyle name="Vstup" xfId="72" builtinId="20" customBuiltin="1"/>
    <cellStyle name="Výpočet" xfId="73" builtinId="22" customBuiltin="1"/>
    <cellStyle name="Výstup" xfId="74" builtinId="21" customBuiltin="1"/>
    <cellStyle name="Vysvětlující text" xfId="75" builtinId="53" customBuiltin="1"/>
    <cellStyle name="Warning Text" xfId="76" xr:uid="{00000000-0005-0000-0000-00004F000000}"/>
    <cellStyle name="Zvýraznění 1" xfId="77" builtinId="29" customBuiltin="1"/>
    <cellStyle name="Zvýraznění 2" xfId="78" builtinId="33" customBuiltin="1"/>
    <cellStyle name="Zvýraznění 3" xfId="79" builtinId="37" customBuiltin="1"/>
    <cellStyle name="Zvýraznění 4" xfId="80" builtinId="41" customBuiltin="1"/>
    <cellStyle name="Zvýraznění 5" xfId="81" builtinId="45" customBuiltin="1"/>
    <cellStyle name="Zvýraznění 6" xfId="82" builtinId="49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  <color rgb="FFCCFF99"/>
      <color rgb="FFFFCCCC"/>
      <color rgb="FFFFFFCC"/>
      <color rgb="FFFF7C80"/>
      <color rgb="FFCCFFCC"/>
      <color rgb="FFFC48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3">
    <tabColor rgb="FFFF7C80"/>
  </sheetPr>
  <dimension ref="A1:K76"/>
  <sheetViews>
    <sheetView tabSelected="1" topLeftCell="A4" zoomScaleNormal="100" zoomScaleSheetLayoutView="70" zoomScalePageLayoutView="90" workbookViewId="0">
      <selection activeCell="J24" sqref="J24"/>
    </sheetView>
  </sheetViews>
  <sheetFormatPr defaultColWidth="9.140625" defaultRowHeight="12.75" x14ac:dyDescent="0.2"/>
  <cols>
    <col min="1" max="1" width="12.85546875" style="3" customWidth="1"/>
    <col min="2" max="2" width="14.42578125" style="3" customWidth="1"/>
    <col min="3" max="3" width="14.85546875" style="3" customWidth="1"/>
    <col min="4" max="4" width="15.28515625" style="3" customWidth="1"/>
    <col min="5" max="5" width="14.28515625" style="3" customWidth="1"/>
    <col min="6" max="6" width="16.42578125" style="3" customWidth="1"/>
    <col min="7" max="7" width="14.42578125" style="3" customWidth="1"/>
    <col min="8" max="8" width="13.5703125" style="3" customWidth="1"/>
    <col min="9" max="9" width="17" style="3" customWidth="1"/>
    <col min="10" max="10" width="30.28515625" style="3" customWidth="1"/>
    <col min="11" max="11" width="32.85546875" style="3" customWidth="1"/>
    <col min="12" max="12" width="9.140625" style="3"/>
    <col min="13" max="13" width="9.140625" style="3" customWidth="1"/>
    <col min="14" max="16384" width="9.140625" style="3"/>
  </cols>
  <sheetData>
    <row r="1" spans="1:10" ht="15.75" x14ac:dyDescent="0.2">
      <c r="A1" s="1" t="s">
        <v>82</v>
      </c>
      <c r="B1" s="2"/>
      <c r="C1" s="2"/>
      <c r="D1" s="2"/>
      <c r="E1" s="2"/>
      <c r="F1" s="2"/>
      <c r="G1" s="2"/>
    </row>
    <row r="2" spans="1:10" x14ac:dyDescent="0.2">
      <c r="A2" s="4"/>
    </row>
    <row r="3" spans="1:10" s="70" customFormat="1" x14ac:dyDescent="0.2">
      <c r="A3" s="70" t="s">
        <v>17</v>
      </c>
      <c r="B3" s="228">
        <v>2025</v>
      </c>
      <c r="C3" s="229"/>
      <c r="D3" s="229"/>
      <c r="E3" s="229"/>
      <c r="F3" s="229"/>
      <c r="G3" s="229"/>
      <c r="H3" s="229"/>
      <c r="I3" s="229"/>
      <c r="J3" s="98"/>
    </row>
    <row r="4" spans="1:10" ht="38.25" customHeight="1" x14ac:dyDescent="0.2">
      <c r="A4" s="5" t="s">
        <v>19</v>
      </c>
      <c r="B4" s="6" t="s">
        <v>32</v>
      </c>
      <c r="C4" s="7" t="s">
        <v>33</v>
      </c>
      <c r="D4" s="7" t="s">
        <v>34</v>
      </c>
      <c r="E4" s="7" t="s">
        <v>1</v>
      </c>
      <c r="F4" s="7" t="s">
        <v>16</v>
      </c>
      <c r="G4" s="7" t="s">
        <v>2</v>
      </c>
      <c r="H4" s="8" t="s">
        <v>3</v>
      </c>
      <c r="I4" s="226" t="s">
        <v>29</v>
      </c>
      <c r="J4" s="224" t="s">
        <v>83</v>
      </c>
    </row>
    <row r="5" spans="1:10" ht="14.1" customHeight="1" x14ac:dyDescent="0.2">
      <c r="A5" s="9" t="s">
        <v>0</v>
      </c>
      <c r="B5" s="10">
        <v>1111</v>
      </c>
      <c r="C5" s="11">
        <v>1112</v>
      </c>
      <c r="D5" s="11">
        <v>1113</v>
      </c>
      <c r="E5" s="11">
        <v>1121</v>
      </c>
      <c r="F5" s="11">
        <v>1122</v>
      </c>
      <c r="G5" s="11">
        <v>1211</v>
      </c>
      <c r="H5" s="12">
        <v>1511</v>
      </c>
      <c r="I5" s="227"/>
      <c r="J5" s="225"/>
    </row>
    <row r="6" spans="1:10" ht="14.1" customHeight="1" x14ac:dyDescent="0.2">
      <c r="A6" s="8" t="s">
        <v>4</v>
      </c>
      <c r="B6" s="13">
        <v>2811304.32</v>
      </c>
      <c r="C6" s="14">
        <v>123179.07</v>
      </c>
      <c r="D6" s="14">
        <v>444120.52</v>
      </c>
      <c r="E6" s="14">
        <v>845174.14</v>
      </c>
      <c r="F6" s="15">
        <v>0</v>
      </c>
      <c r="G6" s="16">
        <v>6949289.3600000003</v>
      </c>
      <c r="H6" s="17">
        <v>117413.28</v>
      </c>
      <c r="I6" s="199">
        <f>SUM(B6:H6)</f>
        <v>11290480.689999999</v>
      </c>
      <c r="J6" s="211">
        <v>11232011.039999999</v>
      </c>
    </row>
    <row r="7" spans="1:10" ht="14.1" customHeight="1" x14ac:dyDescent="0.2">
      <c r="A7" s="8" t="s">
        <v>5</v>
      </c>
      <c r="B7" s="19">
        <v>2510275.27</v>
      </c>
      <c r="C7" s="20">
        <v>100255.56</v>
      </c>
      <c r="D7" s="20">
        <v>519038.53</v>
      </c>
      <c r="E7" s="20">
        <v>263706</v>
      </c>
      <c r="F7" s="21">
        <v>0</v>
      </c>
      <c r="G7" s="18">
        <v>8369665.5999999996</v>
      </c>
      <c r="H7" s="22">
        <v>33392.949999999997</v>
      </c>
      <c r="I7" s="199">
        <f t="shared" ref="I7:I17" si="0">SUM(B7:H7)</f>
        <v>11796333.91</v>
      </c>
      <c r="J7" s="211">
        <v>11517364.17</v>
      </c>
    </row>
    <row r="8" spans="1:10" ht="14.1" customHeight="1" x14ac:dyDescent="0.2">
      <c r="A8" s="8" t="s">
        <v>6</v>
      </c>
      <c r="B8" s="19">
        <v>2223511.0099999998</v>
      </c>
      <c r="C8" s="20">
        <v>481977.06</v>
      </c>
      <c r="D8" s="20">
        <v>398446.12</v>
      </c>
      <c r="E8" s="20">
        <v>5327674.8</v>
      </c>
      <c r="F8" s="21">
        <v>0</v>
      </c>
      <c r="G8" s="18">
        <v>4872390.71</v>
      </c>
      <c r="H8" s="92">
        <v>29830.48</v>
      </c>
      <c r="I8" s="199">
        <f t="shared" si="0"/>
        <v>13333830.18</v>
      </c>
      <c r="J8" s="211">
        <v>14998355.539999999</v>
      </c>
    </row>
    <row r="9" spans="1:10" ht="14.1" customHeight="1" x14ac:dyDescent="0.2">
      <c r="A9" s="8" t="s">
        <v>7</v>
      </c>
      <c r="B9" s="19">
        <v>2147658.34</v>
      </c>
      <c r="C9" s="20">
        <v>0</v>
      </c>
      <c r="D9" s="20">
        <v>435395.63</v>
      </c>
      <c r="E9" s="20">
        <v>3146405.68</v>
      </c>
      <c r="F9" s="21">
        <v>0</v>
      </c>
      <c r="G9" s="18">
        <v>5580039.2199999997</v>
      </c>
      <c r="H9" s="92">
        <v>6850.47</v>
      </c>
      <c r="I9" s="199">
        <f t="shared" si="0"/>
        <v>11316349.340000002</v>
      </c>
      <c r="J9" s="211">
        <v>8853036.0999999996</v>
      </c>
    </row>
    <row r="10" spans="1:10" ht="14.1" customHeight="1" x14ac:dyDescent="0.2">
      <c r="A10" s="8" t="s">
        <v>8</v>
      </c>
      <c r="B10" s="19">
        <v>2471384.7000000002</v>
      </c>
      <c r="C10" s="20">
        <v>0</v>
      </c>
      <c r="D10" s="20">
        <v>434330.68</v>
      </c>
      <c r="E10" s="113">
        <v>1065803.3799999999</v>
      </c>
      <c r="F10" s="21">
        <v>713790</v>
      </c>
      <c r="G10" s="18">
        <v>7871602.6200000001</v>
      </c>
      <c r="H10" s="22">
        <v>28690</v>
      </c>
      <c r="I10" s="199">
        <f t="shared" si="0"/>
        <v>12585601.379999999</v>
      </c>
      <c r="J10" s="212">
        <v>11217233.869999999</v>
      </c>
    </row>
    <row r="11" spans="1:10" ht="14.1" customHeight="1" x14ac:dyDescent="0.2">
      <c r="A11" s="8" t="s">
        <v>9</v>
      </c>
      <c r="B11" s="19">
        <v>2725338.6</v>
      </c>
      <c r="C11" s="20">
        <v>0</v>
      </c>
      <c r="D11" s="20">
        <v>460418.08</v>
      </c>
      <c r="E11" s="20">
        <v>5273606.62</v>
      </c>
      <c r="F11" s="21">
        <v>0</v>
      </c>
      <c r="G11" s="18">
        <v>6428019.5499999998</v>
      </c>
      <c r="H11" s="22">
        <v>6461667.9000000004</v>
      </c>
      <c r="I11" s="199">
        <f t="shared" si="0"/>
        <v>21349050.75</v>
      </c>
      <c r="J11" s="212">
        <v>20129713.100000001</v>
      </c>
    </row>
    <row r="12" spans="1:10" ht="14.1" customHeight="1" x14ac:dyDescent="0.2">
      <c r="A12" s="8" t="s">
        <v>10</v>
      </c>
      <c r="B12" s="218">
        <v>2961139.23</v>
      </c>
      <c r="C12" s="219">
        <v>976016.59</v>
      </c>
      <c r="D12" s="219">
        <v>691266.83</v>
      </c>
      <c r="E12" s="219">
        <v>11221918.34</v>
      </c>
      <c r="F12" s="220">
        <v>0</v>
      </c>
      <c r="G12" s="221">
        <v>6832397.9900000002</v>
      </c>
      <c r="H12" s="222">
        <v>175601.3</v>
      </c>
      <c r="I12" s="223">
        <f>SUM(B12:H12)</f>
        <v>22858340.279999997</v>
      </c>
      <c r="J12" s="212">
        <v>22055612.25</v>
      </c>
    </row>
    <row r="13" spans="1:10" ht="14.1" customHeight="1" x14ac:dyDescent="0.2">
      <c r="A13" s="8" t="s">
        <v>11</v>
      </c>
      <c r="B13" s="19">
        <v>2841986.4</v>
      </c>
      <c r="C13" s="20">
        <v>0</v>
      </c>
      <c r="D13" s="20">
        <v>676925.95</v>
      </c>
      <c r="E13" s="20">
        <v>0</v>
      </c>
      <c r="F13" s="21">
        <v>0</v>
      </c>
      <c r="G13" s="18">
        <v>7918846.5499999998</v>
      </c>
      <c r="H13" s="22">
        <v>451229.18</v>
      </c>
      <c r="I13" s="199">
        <f t="shared" si="0"/>
        <v>11888988.079999998</v>
      </c>
      <c r="J13" s="212">
        <v>11068280.060000001</v>
      </c>
    </row>
    <row r="14" spans="1:10" ht="14.1" customHeight="1" x14ac:dyDescent="0.2">
      <c r="A14" s="8" t="s">
        <v>12</v>
      </c>
      <c r="B14" s="112"/>
      <c r="C14" s="20"/>
      <c r="D14" s="20"/>
      <c r="E14" s="20"/>
      <c r="F14" s="21"/>
      <c r="G14" s="18"/>
      <c r="H14" s="22"/>
      <c r="I14" s="199">
        <f t="shared" si="0"/>
        <v>0</v>
      </c>
      <c r="J14" s="212">
        <v>12718700.1</v>
      </c>
    </row>
    <row r="15" spans="1:10" ht="14.1" customHeight="1" x14ac:dyDescent="0.2">
      <c r="A15" s="8" t="s">
        <v>13</v>
      </c>
      <c r="B15" s="19"/>
      <c r="C15" s="20"/>
      <c r="D15" s="20"/>
      <c r="E15" s="20"/>
      <c r="F15" s="21"/>
      <c r="G15" s="18"/>
      <c r="H15" s="22"/>
      <c r="I15" s="199">
        <f t="shared" si="0"/>
        <v>0</v>
      </c>
      <c r="J15" s="212">
        <v>13221488.49</v>
      </c>
    </row>
    <row r="16" spans="1:10" ht="14.1" customHeight="1" x14ac:dyDescent="0.2">
      <c r="A16" s="8" t="s">
        <v>14</v>
      </c>
      <c r="B16" s="19"/>
      <c r="C16" s="20"/>
      <c r="D16" s="20"/>
      <c r="E16" s="20"/>
      <c r="F16" s="21"/>
      <c r="G16" s="18"/>
      <c r="H16" s="22"/>
      <c r="I16" s="199">
        <f t="shared" si="0"/>
        <v>0</v>
      </c>
      <c r="J16" s="212">
        <v>12327200.689999999</v>
      </c>
    </row>
    <row r="17" spans="1:11" ht="14.1" customHeight="1" thickBot="1" x14ac:dyDescent="0.25">
      <c r="A17" s="8" t="s">
        <v>15</v>
      </c>
      <c r="B17" s="19"/>
      <c r="C17" s="20"/>
      <c r="D17" s="20"/>
      <c r="E17" s="20"/>
      <c r="F17" s="21"/>
      <c r="G17" s="18"/>
      <c r="H17" s="22"/>
      <c r="I17" s="199">
        <f t="shared" si="0"/>
        <v>0</v>
      </c>
      <c r="J17" s="213">
        <v>20643931.940000001</v>
      </c>
    </row>
    <row r="18" spans="1:11" ht="39" customHeight="1" thickBot="1" x14ac:dyDescent="0.25">
      <c r="A18" s="25" t="s">
        <v>72</v>
      </c>
      <c r="B18" s="26">
        <f>SUM(B6:B17)</f>
        <v>20692597.869999997</v>
      </c>
      <c r="C18" s="26">
        <f t="shared" ref="C18:H18" si="1">SUM(C6:C17)</f>
        <v>1681428.2799999998</v>
      </c>
      <c r="D18" s="26">
        <f t="shared" si="1"/>
        <v>4059942.34</v>
      </c>
      <c r="E18" s="26">
        <f t="shared" si="1"/>
        <v>27144288.960000001</v>
      </c>
      <c r="F18" s="26">
        <f t="shared" si="1"/>
        <v>713790</v>
      </c>
      <c r="G18" s="26">
        <f t="shared" si="1"/>
        <v>54822251.599999994</v>
      </c>
      <c r="H18" s="26">
        <f t="shared" si="1"/>
        <v>7304675.5599999996</v>
      </c>
      <c r="I18" s="27">
        <f>SUM(I6:I17)</f>
        <v>116418974.61</v>
      </c>
      <c r="J18" s="136">
        <f>SUM(J6:J17)</f>
        <v>169982927.34999999</v>
      </c>
    </row>
    <row r="19" spans="1:11" ht="12" customHeight="1" x14ac:dyDescent="0.2">
      <c r="A19" s="29"/>
      <c r="B19" s="30"/>
      <c r="C19" s="30"/>
      <c r="D19" s="30"/>
      <c r="E19" s="30"/>
      <c r="F19" s="30"/>
      <c r="G19" s="30"/>
      <c r="H19" s="30"/>
      <c r="J19" s="35"/>
    </row>
    <row r="20" spans="1:11" ht="46.5" customHeight="1" x14ac:dyDescent="0.2">
      <c r="A20" s="59" t="s">
        <v>87</v>
      </c>
      <c r="B20" s="156">
        <v>32870000</v>
      </c>
      <c r="C20" s="156">
        <v>2450000</v>
      </c>
      <c r="D20" s="156">
        <v>5320000</v>
      </c>
      <c r="E20" s="156">
        <v>43620000</v>
      </c>
      <c r="F20" s="156">
        <v>715000</v>
      </c>
      <c r="G20" s="156">
        <v>84990000</v>
      </c>
      <c r="H20" s="157">
        <v>9594000</v>
      </c>
      <c r="I20" s="158">
        <f>SUM(B20:H20)</f>
        <v>179559000</v>
      </c>
      <c r="J20" s="137">
        <f>J18/12</f>
        <v>14165243.945833333</v>
      </c>
    </row>
    <row r="21" spans="1:11" ht="46.5" hidden="1" customHeight="1" x14ac:dyDescent="0.2">
      <c r="A21" s="115" t="s">
        <v>70</v>
      </c>
      <c r="B21" s="156"/>
      <c r="C21" s="156"/>
      <c r="D21" s="156"/>
      <c r="E21" s="156"/>
      <c r="F21" s="156"/>
      <c r="G21" s="156"/>
      <c r="H21" s="157"/>
      <c r="I21" s="158">
        <f>SUM(B21:H21)</f>
        <v>0</v>
      </c>
      <c r="J21" s="67" t="s">
        <v>66</v>
      </c>
    </row>
    <row r="22" spans="1:11" ht="46.5" hidden="1" customHeight="1" x14ac:dyDescent="0.2">
      <c r="A22" s="115" t="s">
        <v>45</v>
      </c>
      <c r="B22" s="116"/>
      <c r="C22" s="125"/>
      <c r="D22" s="125"/>
      <c r="E22" s="125"/>
      <c r="F22" s="125"/>
      <c r="G22" s="125"/>
      <c r="H22" s="126"/>
      <c r="I22" s="127"/>
      <c r="J22" s="33"/>
    </row>
    <row r="23" spans="1:11" ht="46.5" hidden="1" customHeight="1" x14ac:dyDescent="0.2">
      <c r="A23" s="115" t="s">
        <v>51</v>
      </c>
      <c r="B23" s="116"/>
      <c r="C23" s="125"/>
      <c r="D23" s="125"/>
      <c r="E23" s="125"/>
      <c r="F23" s="125"/>
      <c r="G23" s="125"/>
      <c r="H23" s="126"/>
      <c r="I23" s="127"/>
      <c r="J23" s="33"/>
    </row>
    <row r="24" spans="1:11" ht="115.5" customHeight="1" x14ac:dyDescent="0.2">
      <c r="A24" s="34" t="s">
        <v>22</v>
      </c>
      <c r="B24" s="53">
        <f>B18/B20</f>
        <v>0.62952838059020377</v>
      </c>
      <c r="C24" s="53">
        <f t="shared" ref="C24:H24" si="2">C18/C20</f>
        <v>0.68629725714285705</v>
      </c>
      <c r="D24" s="53">
        <f t="shared" si="2"/>
        <v>0.76314705639097746</v>
      </c>
      <c r="E24" s="53">
        <f>E18/E20</f>
        <v>0.62228998074277853</v>
      </c>
      <c r="F24" s="53">
        <f>F18/F20</f>
        <v>0.99830769230769234</v>
      </c>
      <c r="G24" s="53">
        <f t="shared" si="2"/>
        <v>0.6450435533592187</v>
      </c>
      <c r="H24" s="53">
        <f t="shared" si="2"/>
        <v>0.76137956639566395</v>
      </c>
      <c r="I24" s="216">
        <f>I18/I20</f>
        <v>0.64836056454981372</v>
      </c>
      <c r="J24" s="217" t="s">
        <v>104</v>
      </c>
      <c r="K24" s="30"/>
    </row>
    <row r="25" spans="1:11" ht="10.5" customHeight="1" x14ac:dyDescent="0.2">
      <c r="A25" s="29"/>
      <c r="B25" s="30"/>
      <c r="C25" s="30"/>
      <c r="D25" s="30"/>
      <c r="E25" s="30"/>
      <c r="F25" s="96"/>
      <c r="G25" s="30"/>
      <c r="H25" s="30"/>
      <c r="I25" s="30"/>
      <c r="J25" s="30"/>
    </row>
    <row r="26" spans="1:11" ht="31.5" customHeight="1" x14ac:dyDescent="0.2">
      <c r="A26" s="128" t="s">
        <v>83</v>
      </c>
      <c r="B26" s="129">
        <v>29554199.66</v>
      </c>
      <c r="C26" s="129">
        <v>2131704.9</v>
      </c>
      <c r="D26" s="129">
        <v>6628289.1799999997</v>
      </c>
      <c r="E26" s="129">
        <v>41058930.359999999</v>
      </c>
      <c r="F26" s="129">
        <v>1336840</v>
      </c>
      <c r="G26" s="129">
        <v>82410189.659999996</v>
      </c>
      <c r="H26" s="138">
        <v>6862773.5899999999</v>
      </c>
      <c r="I26" s="139">
        <f>SUM(B26:H26)</f>
        <v>169982927.34999999</v>
      </c>
    </row>
    <row r="27" spans="1:11" ht="18" customHeight="1" x14ac:dyDescent="0.2">
      <c r="A27" s="36"/>
      <c r="B27" s="37"/>
      <c r="C27" s="37"/>
      <c r="D27" s="37"/>
      <c r="E27" s="37"/>
      <c r="F27" s="37"/>
      <c r="G27" s="37"/>
      <c r="H27" s="37"/>
      <c r="I27" s="30"/>
    </row>
    <row r="28" spans="1:11" ht="17.100000000000001" customHeight="1" x14ac:dyDescent="0.2">
      <c r="A28" s="38"/>
      <c r="B28" s="23"/>
      <c r="C28" s="37"/>
      <c r="D28" s="39"/>
      <c r="E28" s="39"/>
      <c r="F28" s="39"/>
      <c r="G28" s="40"/>
    </row>
    <row r="29" spans="1:11" ht="12" customHeight="1" x14ac:dyDescent="0.2">
      <c r="A29" s="106" t="s">
        <v>93</v>
      </c>
    </row>
    <row r="30" spans="1:11" ht="45" customHeight="1" x14ac:dyDescent="0.2">
      <c r="A30" s="105"/>
      <c r="B30" s="7" t="s">
        <v>92</v>
      </c>
      <c r="C30" s="123" t="s">
        <v>91</v>
      </c>
      <c r="D30" s="123" t="s">
        <v>71</v>
      </c>
      <c r="E30" s="123" t="s">
        <v>67</v>
      </c>
    </row>
    <row r="31" spans="1:11" ht="21.95" customHeight="1" x14ac:dyDescent="0.2">
      <c r="A31" s="103" t="s">
        <v>0</v>
      </c>
      <c r="B31" s="11">
        <v>1211</v>
      </c>
      <c r="C31" s="101">
        <v>1211</v>
      </c>
      <c r="D31" s="101">
        <v>1211</v>
      </c>
      <c r="E31" s="101">
        <v>1211</v>
      </c>
    </row>
    <row r="32" spans="1:11" ht="15.75" customHeight="1" x14ac:dyDescent="0.2">
      <c r="A32" s="104" t="s">
        <v>4</v>
      </c>
      <c r="B32" s="16">
        <v>6949289.3600000003</v>
      </c>
      <c r="C32" s="102">
        <v>7205519.4100000001</v>
      </c>
      <c r="D32" s="102">
        <v>7310044.29</v>
      </c>
      <c r="E32" s="102">
        <v>6244942.2400000002</v>
      </c>
    </row>
    <row r="33" spans="1:10" ht="15.75" customHeight="1" x14ac:dyDescent="0.2">
      <c r="A33" s="104" t="s">
        <v>5</v>
      </c>
      <c r="B33" s="18">
        <v>8369665.5999999996</v>
      </c>
      <c r="C33" s="100">
        <v>8114721.3200000003</v>
      </c>
      <c r="D33" s="100">
        <v>8123262.3099999996</v>
      </c>
      <c r="E33" s="100">
        <v>7665699.6299999999</v>
      </c>
    </row>
    <row r="34" spans="1:10" ht="15.75" customHeight="1" x14ac:dyDescent="0.2">
      <c r="A34" s="104" t="s">
        <v>6</v>
      </c>
      <c r="B34" s="18">
        <v>4872390.71</v>
      </c>
      <c r="C34" s="100">
        <v>4906762.29</v>
      </c>
      <c r="D34" s="100">
        <v>4811335.6399999997</v>
      </c>
      <c r="E34" s="100">
        <v>3537018.85</v>
      </c>
    </row>
    <row r="35" spans="1:10" ht="15.75" customHeight="1" x14ac:dyDescent="0.2">
      <c r="A35" s="104" t="s">
        <v>7</v>
      </c>
      <c r="B35" s="18">
        <v>5580039.2199999997</v>
      </c>
      <c r="C35" s="100">
        <v>5480745.7000000002</v>
      </c>
      <c r="D35" s="100">
        <v>5358931.93</v>
      </c>
      <c r="E35" s="100">
        <v>5460752.2599999998</v>
      </c>
    </row>
    <row r="36" spans="1:10" ht="15.75" customHeight="1" x14ac:dyDescent="0.2">
      <c r="A36" s="104" t="s">
        <v>8</v>
      </c>
      <c r="B36" s="18">
        <v>7871602.6200000001</v>
      </c>
      <c r="C36" s="100">
        <v>7452536.2300000004</v>
      </c>
      <c r="D36" s="100">
        <v>8865657.4399999995</v>
      </c>
      <c r="E36" s="100">
        <v>8388824.7799999993</v>
      </c>
    </row>
    <row r="37" spans="1:10" ht="15.75" customHeight="1" x14ac:dyDescent="0.2">
      <c r="A37" s="104" t="s">
        <v>9</v>
      </c>
      <c r="B37" s="18">
        <v>6428019.5499999998</v>
      </c>
      <c r="C37" s="100">
        <v>6388945.5999999996</v>
      </c>
      <c r="D37" s="100">
        <v>5657616</v>
      </c>
      <c r="E37" s="100">
        <v>5488121.7800000003</v>
      </c>
    </row>
    <row r="38" spans="1:10" ht="15.75" customHeight="1" x14ac:dyDescent="0.2">
      <c r="A38" s="104" t="s">
        <v>10</v>
      </c>
      <c r="B38" s="64">
        <v>6832397.9900000002</v>
      </c>
      <c r="C38" s="159">
        <v>6669172.4199999999</v>
      </c>
      <c r="D38" s="159">
        <v>7208286.29</v>
      </c>
      <c r="E38" s="159">
        <v>7158675.4400000004</v>
      </c>
    </row>
    <row r="39" spans="1:10" ht="15.75" customHeight="1" x14ac:dyDescent="0.2">
      <c r="A39" s="104" t="s">
        <v>11</v>
      </c>
      <c r="B39" s="18">
        <v>7918846.5499999998</v>
      </c>
      <c r="C39" s="100">
        <v>7786062.6399999997</v>
      </c>
      <c r="D39" s="100">
        <v>8529809.9900000002</v>
      </c>
      <c r="E39" s="100">
        <v>8052979.3700000001</v>
      </c>
    </row>
    <row r="40" spans="1:10" ht="15.75" customHeight="1" x14ac:dyDescent="0.2">
      <c r="A40" s="104" t="s">
        <v>12</v>
      </c>
      <c r="B40" s="18"/>
      <c r="C40" s="100">
        <v>5763620.4500000002</v>
      </c>
      <c r="D40" s="100">
        <v>4727185.7300000004</v>
      </c>
      <c r="E40" s="100">
        <v>5479097.7000000002</v>
      </c>
    </row>
    <row r="41" spans="1:10" ht="15.75" customHeight="1" x14ac:dyDescent="0.2">
      <c r="A41" s="104" t="s">
        <v>13</v>
      </c>
      <c r="B41" s="18"/>
      <c r="C41" s="100">
        <v>6293561.7400000002</v>
      </c>
      <c r="D41" s="100">
        <v>5796086.8399999999</v>
      </c>
      <c r="E41" s="100">
        <v>6540916.7699999996</v>
      </c>
    </row>
    <row r="42" spans="1:10" ht="15.75" customHeight="1" x14ac:dyDescent="0.2">
      <c r="A42" s="104" t="s">
        <v>14</v>
      </c>
      <c r="B42" s="18"/>
      <c r="C42" s="100">
        <v>8700633.8900000006</v>
      </c>
      <c r="D42" s="100">
        <v>8358407.2300000004</v>
      </c>
      <c r="E42" s="100">
        <v>9474035.6799999997</v>
      </c>
    </row>
    <row r="43" spans="1:10" ht="15.75" customHeight="1" x14ac:dyDescent="0.2">
      <c r="A43" s="104" t="s">
        <v>15</v>
      </c>
      <c r="B43" s="18"/>
      <c r="C43" s="100">
        <v>7647907.9699999997</v>
      </c>
      <c r="D43" s="100">
        <v>8272716.2599999998</v>
      </c>
      <c r="E43" s="100">
        <v>6340723.4299999997</v>
      </c>
    </row>
    <row r="44" spans="1:10" ht="35.25" customHeight="1" x14ac:dyDescent="0.2">
      <c r="A44" s="76" t="s">
        <v>44</v>
      </c>
      <c r="B44" s="26">
        <f t="shared" ref="B44" si="3">SUM(B32:B43)</f>
        <v>54822251.599999994</v>
      </c>
      <c r="C44" s="99">
        <f>SUM(C32:C43)</f>
        <v>82410189.659999996</v>
      </c>
      <c r="D44" s="99">
        <f>SUM(D32:D43)</f>
        <v>83019339.950000018</v>
      </c>
      <c r="E44" s="99">
        <f>SUM(E32:E43)</f>
        <v>79831787.930000007</v>
      </c>
    </row>
    <row r="45" spans="1:10" ht="35.25" hidden="1" customHeight="1" x14ac:dyDescent="0.2">
      <c r="A45" s="235"/>
      <c r="B45" s="235"/>
      <c r="C45" s="160"/>
      <c r="D45" s="120"/>
      <c r="E45" s="198"/>
      <c r="F45" s="44"/>
      <c r="I45" s="121"/>
      <c r="J45" s="60"/>
    </row>
    <row r="46" spans="1:10" ht="24" customHeight="1" x14ac:dyDescent="0.2">
      <c r="A46" s="62"/>
      <c r="B46" s="161"/>
      <c r="C46" s="72"/>
      <c r="D46" s="120"/>
      <c r="E46" s="198"/>
      <c r="F46" s="44"/>
      <c r="I46" s="121"/>
      <c r="J46" s="60"/>
    </row>
    <row r="47" spans="1:10" x14ac:dyDescent="0.2">
      <c r="A47" s="36"/>
      <c r="B47" s="37"/>
      <c r="C47" s="37"/>
      <c r="D47" s="37"/>
      <c r="E47" s="37"/>
      <c r="F47" s="37"/>
      <c r="G47" s="37"/>
      <c r="H47" s="37"/>
      <c r="I47" s="30"/>
    </row>
    <row r="48" spans="1:10" ht="15.75" x14ac:dyDescent="0.2">
      <c r="A48" s="1" t="s">
        <v>84</v>
      </c>
      <c r="B48" s="23"/>
      <c r="D48" s="48"/>
      <c r="E48" s="47"/>
      <c r="F48" s="47"/>
      <c r="G48" s="47"/>
      <c r="H48" s="47"/>
      <c r="I48" s="47"/>
    </row>
    <row r="49" spans="1:9" ht="15.75" x14ac:dyDescent="0.2">
      <c r="A49" s="1"/>
      <c r="B49" s="23"/>
      <c r="D49" s="48"/>
      <c r="E49" s="47"/>
      <c r="F49" s="47"/>
      <c r="G49" s="47"/>
      <c r="H49" s="47"/>
      <c r="I49" s="47"/>
    </row>
    <row r="50" spans="1:9" s="70" customFormat="1" x14ac:dyDescent="0.2">
      <c r="A50" s="70" t="s">
        <v>17</v>
      </c>
      <c r="B50" s="230" t="s">
        <v>85</v>
      </c>
      <c r="C50" s="231"/>
      <c r="D50" s="231"/>
      <c r="E50" s="232"/>
      <c r="F50" s="207"/>
      <c r="G50" s="200"/>
      <c r="H50" s="200"/>
    </row>
    <row r="51" spans="1:9" ht="57.75" customHeight="1" x14ac:dyDescent="0.2">
      <c r="A51" s="5" t="s">
        <v>18</v>
      </c>
      <c r="B51" s="49" t="s">
        <v>88</v>
      </c>
      <c r="C51" s="7" t="s">
        <v>89</v>
      </c>
      <c r="D51" s="201" t="s">
        <v>90</v>
      </c>
      <c r="E51" s="233" t="s">
        <v>39</v>
      </c>
      <c r="F51" s="236" t="s">
        <v>83</v>
      </c>
    </row>
    <row r="52" spans="1:9" ht="30" customHeight="1" x14ac:dyDescent="0.2">
      <c r="A52" s="9" t="s">
        <v>0</v>
      </c>
      <c r="B52" s="73">
        <v>1386</v>
      </c>
      <c r="C52" s="206">
        <v>1387</v>
      </c>
      <c r="D52" s="202" t="s">
        <v>86</v>
      </c>
      <c r="E52" s="234"/>
      <c r="F52" s="237"/>
    </row>
    <row r="53" spans="1:9" ht="14.1" customHeight="1" x14ac:dyDescent="0.2">
      <c r="A53" s="49" t="s">
        <v>4</v>
      </c>
      <c r="B53" s="140">
        <v>2854.08</v>
      </c>
      <c r="C53" s="18">
        <v>13408.09</v>
      </c>
      <c r="D53" s="203"/>
      <c r="E53" s="81">
        <f>SUM(B53:D53)</f>
        <v>16262.17</v>
      </c>
      <c r="F53" s="130">
        <v>0</v>
      </c>
    </row>
    <row r="54" spans="1:9" ht="14.1" customHeight="1" x14ac:dyDescent="0.2">
      <c r="A54" s="49" t="s">
        <v>5</v>
      </c>
      <c r="B54" s="74">
        <v>522066.06</v>
      </c>
      <c r="C54" s="87">
        <v>159108.87</v>
      </c>
      <c r="D54" s="204"/>
      <c r="E54" s="81">
        <f t="shared" ref="E54:E64" si="4">SUM(B54:D54)</f>
        <v>681174.92999999993</v>
      </c>
      <c r="F54" s="131">
        <v>342558.16</v>
      </c>
    </row>
    <row r="55" spans="1:9" ht="14.1" customHeight="1" x14ac:dyDescent="0.2">
      <c r="A55" s="49" t="s">
        <v>6</v>
      </c>
      <c r="B55" s="74">
        <v>0</v>
      </c>
      <c r="C55" s="18">
        <v>2392.67</v>
      </c>
      <c r="D55" s="203"/>
      <c r="E55" s="81">
        <f t="shared" si="4"/>
        <v>2392.67</v>
      </c>
      <c r="F55" s="132">
        <v>0</v>
      </c>
    </row>
    <row r="56" spans="1:9" ht="14.1" customHeight="1" x14ac:dyDescent="0.2">
      <c r="A56" s="49" t="s">
        <v>7</v>
      </c>
      <c r="B56" s="74">
        <v>3260.74</v>
      </c>
      <c r="C56" s="18">
        <v>5260.76</v>
      </c>
      <c r="D56" s="203"/>
      <c r="E56" s="81">
        <f t="shared" si="4"/>
        <v>8521.5</v>
      </c>
      <c r="F56" s="132">
        <v>0</v>
      </c>
    </row>
    <row r="57" spans="1:9" ht="14.1" customHeight="1" x14ac:dyDescent="0.2">
      <c r="A57" s="49" t="s">
        <v>8</v>
      </c>
      <c r="B57" s="74">
        <v>356137.23</v>
      </c>
      <c r="C57" s="18">
        <v>154810.37</v>
      </c>
      <c r="D57" s="203"/>
      <c r="E57" s="81">
        <f t="shared" si="4"/>
        <v>510947.6</v>
      </c>
      <c r="F57" s="131">
        <v>454894.5</v>
      </c>
    </row>
    <row r="58" spans="1:9" ht="14.1" customHeight="1" x14ac:dyDescent="0.2">
      <c r="A58" s="49" t="s">
        <v>9</v>
      </c>
      <c r="B58" s="122">
        <v>0</v>
      </c>
      <c r="C58" s="87">
        <v>1717.42</v>
      </c>
      <c r="D58" s="204"/>
      <c r="E58" s="81">
        <f t="shared" si="4"/>
        <v>1717.42</v>
      </c>
      <c r="F58" s="132">
        <v>23043.9</v>
      </c>
    </row>
    <row r="59" spans="1:9" ht="14.1" customHeight="1" x14ac:dyDescent="0.2">
      <c r="A59" s="49" t="s">
        <v>10</v>
      </c>
      <c r="B59" s="74">
        <v>0</v>
      </c>
      <c r="C59" s="18">
        <v>3777.5</v>
      </c>
      <c r="D59" s="203"/>
      <c r="E59" s="81">
        <f t="shared" si="4"/>
        <v>3777.5</v>
      </c>
      <c r="F59" s="132">
        <v>15018.12</v>
      </c>
    </row>
    <row r="60" spans="1:9" ht="14.1" customHeight="1" x14ac:dyDescent="0.2">
      <c r="A60" s="49" t="s">
        <v>11</v>
      </c>
      <c r="B60" s="74">
        <v>355962.46</v>
      </c>
      <c r="C60" s="18">
        <v>149569.48000000001</v>
      </c>
      <c r="D60" s="203"/>
      <c r="E60" s="81">
        <f t="shared" si="4"/>
        <v>505531.94000000006</v>
      </c>
      <c r="F60" s="131">
        <v>515946.26</v>
      </c>
    </row>
    <row r="61" spans="1:9" ht="14.1" customHeight="1" x14ac:dyDescent="0.2">
      <c r="A61" s="49" t="s">
        <v>12</v>
      </c>
      <c r="B61" s="74"/>
      <c r="C61" s="18"/>
      <c r="D61" s="203"/>
      <c r="E61" s="81">
        <f t="shared" si="4"/>
        <v>0</v>
      </c>
      <c r="F61" s="132">
        <v>4891.49</v>
      </c>
    </row>
    <row r="62" spans="1:9" ht="14.1" customHeight="1" x14ac:dyDescent="0.2">
      <c r="A62" s="49" t="s">
        <v>13</v>
      </c>
      <c r="B62" s="74"/>
      <c r="C62" s="18"/>
      <c r="D62" s="203"/>
      <c r="E62" s="81">
        <f t="shared" si="4"/>
        <v>0</v>
      </c>
      <c r="F62" s="132">
        <v>6485.61</v>
      </c>
    </row>
    <row r="63" spans="1:9" ht="14.1" customHeight="1" x14ac:dyDescent="0.2">
      <c r="A63" s="49" t="s">
        <v>14</v>
      </c>
      <c r="B63" s="74"/>
      <c r="C63" s="18"/>
      <c r="D63" s="203"/>
      <c r="E63" s="81">
        <f t="shared" si="4"/>
        <v>0</v>
      </c>
      <c r="F63" s="131">
        <v>414318.97</v>
      </c>
    </row>
    <row r="64" spans="1:9" ht="14.1" customHeight="1" x14ac:dyDescent="0.2">
      <c r="A64" s="49" t="s">
        <v>15</v>
      </c>
      <c r="B64" s="77"/>
      <c r="C64" s="65"/>
      <c r="D64" s="205"/>
      <c r="E64" s="81">
        <f t="shared" si="4"/>
        <v>0</v>
      </c>
      <c r="F64" s="132">
        <v>1903.5</v>
      </c>
    </row>
    <row r="65" spans="1:10" ht="39" customHeight="1" x14ac:dyDescent="0.2">
      <c r="A65" s="76" t="s">
        <v>72</v>
      </c>
      <c r="B65" s="26">
        <f>SUM(B53:B64)</f>
        <v>1240280.57</v>
      </c>
      <c r="C65" s="26">
        <f>SUM(C53:C64)</f>
        <v>490045.16000000003</v>
      </c>
      <c r="D65" s="26">
        <f>SUM(D53:D64)</f>
        <v>0</v>
      </c>
      <c r="E65" s="195">
        <f>SUM(B65:C65)</f>
        <v>1730325.73</v>
      </c>
      <c r="F65" s="133">
        <f>SUM(F53:F64)</f>
        <v>1779060.51</v>
      </c>
    </row>
    <row r="66" spans="1:10" ht="12.95" customHeight="1" x14ac:dyDescent="0.2">
      <c r="A66" s="61"/>
      <c r="B66" s="60"/>
      <c r="E66" s="210"/>
      <c r="F66" s="209"/>
    </row>
    <row r="67" spans="1:10" ht="33" customHeight="1" x14ac:dyDescent="0.2">
      <c r="A67" s="59" t="s">
        <v>87</v>
      </c>
      <c r="B67" s="162">
        <v>700000</v>
      </c>
      <c r="C67" s="162">
        <v>300000</v>
      </c>
      <c r="D67" s="162">
        <v>0</v>
      </c>
      <c r="E67" s="143">
        <f>SUM(B67:D67)</f>
        <v>1000000</v>
      </c>
      <c r="F67" s="208"/>
    </row>
    <row r="68" spans="1:10" ht="33" hidden="1" customHeight="1" x14ac:dyDescent="0.2">
      <c r="A68" s="117" t="s">
        <v>69</v>
      </c>
      <c r="B68" s="162"/>
      <c r="C68" s="162"/>
      <c r="D68" s="162"/>
      <c r="E68" s="143">
        <f>SUM(B68:C68)</f>
        <v>0</v>
      </c>
      <c r="F68" s="29"/>
      <c r="G68" s="67" t="s">
        <v>66</v>
      </c>
    </row>
    <row r="69" spans="1:10" ht="33" hidden="1" customHeight="1" x14ac:dyDescent="0.2">
      <c r="A69" s="117" t="s">
        <v>49</v>
      </c>
      <c r="B69" s="152"/>
      <c r="C69" s="153"/>
      <c r="D69" s="153"/>
      <c r="E69" s="118">
        <f>SUM(B69:C69)</f>
        <v>0</v>
      </c>
      <c r="F69" s="29"/>
      <c r="G69" s="67"/>
    </row>
    <row r="70" spans="1:10" ht="33" hidden="1" customHeight="1" x14ac:dyDescent="0.2">
      <c r="A70" s="115" t="s">
        <v>51</v>
      </c>
      <c r="B70" s="148"/>
      <c r="C70" s="149"/>
      <c r="D70" s="149"/>
      <c r="E70" s="118">
        <f>SUM(B70:C70)</f>
        <v>0</v>
      </c>
      <c r="F70" s="29"/>
      <c r="G70" s="67"/>
    </row>
    <row r="71" spans="1:10" s="54" customFormat="1" ht="24" customHeight="1" x14ac:dyDescent="0.2">
      <c r="A71" s="51" t="s">
        <v>22</v>
      </c>
      <c r="B71" s="53">
        <f>B65/B67</f>
        <v>1.7718293857142857</v>
      </c>
      <c r="C71" s="53">
        <f>C65/C67</f>
        <v>1.6334838666666667</v>
      </c>
      <c r="D71" s="53" t="e">
        <f>D65/D67</f>
        <v>#DIV/0!</v>
      </c>
      <c r="E71" s="154">
        <f>E65/E67</f>
        <v>1.7303257299999999</v>
      </c>
      <c r="F71" s="3"/>
      <c r="H71" s="66"/>
      <c r="J71" s="3"/>
    </row>
    <row r="72" spans="1:10" ht="15.75" customHeight="1" x14ac:dyDescent="0.2">
      <c r="C72" s="55"/>
      <c r="E72" s="69"/>
      <c r="F72" s="66"/>
    </row>
    <row r="73" spans="1:10" ht="24" customHeight="1" x14ac:dyDescent="0.2">
      <c r="C73" s="55"/>
      <c r="E73" s="69"/>
      <c r="F73" s="66"/>
    </row>
    <row r="74" spans="1:10" ht="15.75" customHeight="1" x14ac:dyDescent="0.2">
      <c r="F74" s="44"/>
    </row>
    <row r="75" spans="1:10" x14ac:dyDescent="0.2">
      <c r="A75" s="58"/>
      <c r="B75" s="23"/>
      <c r="C75" s="37"/>
    </row>
    <row r="76" spans="1:10" x14ac:dyDescent="0.2">
      <c r="A76" s="58"/>
      <c r="B76" s="23"/>
      <c r="C76" s="37"/>
    </row>
  </sheetData>
  <mergeCells count="7">
    <mergeCell ref="J4:J5"/>
    <mergeCell ref="I4:I5"/>
    <mergeCell ref="B3:I3"/>
    <mergeCell ref="B50:E50"/>
    <mergeCell ref="E51:E52"/>
    <mergeCell ref="A45:B45"/>
    <mergeCell ref="F51:F52"/>
  </mergeCells>
  <phoneticPr fontId="2" type="noConversion"/>
  <pageMargins left="0.7" right="0.7" top="0.75" bottom="0.75" header="0.3" footer="0.3"/>
  <pageSetup paperSize="9" scale="65" fitToHeight="3" orientation="landscape" r:id="rId1"/>
  <headerFooter alignWithMargins="0">
    <oddFooter>&amp;LMilatová Hana&amp;Cstránka &amp;P&amp;R&amp;D</oddFooter>
  </headerFooter>
  <rowBreaks count="2" manualBreakCount="2">
    <brk id="28" max="16383" man="1"/>
    <brk id="7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D4D92-5943-41C8-B571-0872AC039EAD}">
  <sheetPr>
    <tabColor rgb="FFFF7C80"/>
  </sheetPr>
  <dimension ref="A1:M96"/>
  <sheetViews>
    <sheetView zoomScaleNormal="100" zoomScaleSheetLayoutView="70" zoomScalePageLayoutView="90" workbookViewId="0">
      <selection activeCell="F18" sqref="F18"/>
    </sheetView>
  </sheetViews>
  <sheetFormatPr defaultColWidth="9.140625" defaultRowHeight="12.75" x14ac:dyDescent="0.2"/>
  <cols>
    <col min="1" max="1" width="12.85546875" style="70" customWidth="1"/>
    <col min="2" max="2" width="14.42578125" style="70" customWidth="1"/>
    <col min="3" max="3" width="14.85546875" style="70" customWidth="1"/>
    <col min="4" max="4" width="15.28515625" style="70" customWidth="1"/>
    <col min="5" max="5" width="14.28515625" style="70" customWidth="1"/>
    <col min="6" max="6" width="16.42578125" style="70" customWidth="1"/>
    <col min="7" max="7" width="14.42578125" style="70" customWidth="1"/>
    <col min="8" max="8" width="13.5703125" style="70" customWidth="1"/>
    <col min="9" max="9" width="17" style="70" customWidth="1"/>
    <col min="10" max="10" width="14.5703125" style="70" customWidth="1"/>
    <col min="11" max="11" width="14.140625" style="70" customWidth="1"/>
    <col min="12" max="12" width="15.28515625" style="70" customWidth="1"/>
    <col min="13" max="13" width="14.85546875" style="70" customWidth="1"/>
    <col min="14" max="16384" width="9.140625" style="70"/>
  </cols>
  <sheetData>
    <row r="1" spans="1:13" ht="15.75" x14ac:dyDescent="0.2">
      <c r="A1" s="1" t="s">
        <v>94</v>
      </c>
      <c r="B1" s="2"/>
      <c r="C1" s="2"/>
      <c r="D1" s="2"/>
      <c r="E1" s="2"/>
      <c r="F1" s="2"/>
      <c r="G1" s="2"/>
    </row>
    <row r="2" spans="1:13" x14ac:dyDescent="0.2">
      <c r="A2" s="4"/>
    </row>
    <row r="3" spans="1:13" x14ac:dyDescent="0.2">
      <c r="A3" s="70" t="s">
        <v>17</v>
      </c>
      <c r="B3" s="228">
        <v>2024</v>
      </c>
      <c r="C3" s="229"/>
      <c r="D3" s="229"/>
      <c r="E3" s="229"/>
      <c r="F3" s="229"/>
      <c r="G3" s="229"/>
      <c r="H3" s="229"/>
      <c r="I3" s="229"/>
      <c r="J3" s="229"/>
      <c r="K3" s="239"/>
      <c r="L3" s="97"/>
      <c r="M3" s="97"/>
    </row>
    <row r="4" spans="1:13" ht="38.25" customHeight="1" x14ac:dyDescent="0.2">
      <c r="A4" s="5" t="s">
        <v>19</v>
      </c>
      <c r="B4" s="6" t="s">
        <v>32</v>
      </c>
      <c r="C4" s="7" t="s">
        <v>33</v>
      </c>
      <c r="D4" s="7" t="s">
        <v>34</v>
      </c>
      <c r="E4" s="7" t="s">
        <v>1</v>
      </c>
      <c r="F4" s="7" t="s">
        <v>16</v>
      </c>
      <c r="G4" s="7" t="s">
        <v>2</v>
      </c>
      <c r="H4" s="8" t="s">
        <v>3</v>
      </c>
      <c r="I4" s="226" t="s">
        <v>29</v>
      </c>
      <c r="J4" s="240" t="s">
        <v>42</v>
      </c>
      <c r="K4" s="241" t="s">
        <v>21</v>
      </c>
      <c r="L4" s="224" t="s">
        <v>95</v>
      </c>
      <c r="M4" s="238" t="s">
        <v>96</v>
      </c>
    </row>
    <row r="5" spans="1:13" ht="14.1" customHeight="1" x14ac:dyDescent="0.2">
      <c r="A5" s="9" t="s">
        <v>0</v>
      </c>
      <c r="B5" s="10">
        <v>1111</v>
      </c>
      <c r="C5" s="11">
        <v>1112</v>
      </c>
      <c r="D5" s="11">
        <v>1113</v>
      </c>
      <c r="E5" s="11">
        <v>1121</v>
      </c>
      <c r="F5" s="11">
        <v>1122</v>
      </c>
      <c r="G5" s="11">
        <v>1211</v>
      </c>
      <c r="H5" s="12">
        <v>1511</v>
      </c>
      <c r="I5" s="227"/>
      <c r="J5" s="240"/>
      <c r="K5" s="242"/>
      <c r="L5" s="225"/>
      <c r="M5" s="238"/>
    </row>
    <row r="6" spans="1:13" ht="14.1" customHeight="1" x14ac:dyDescent="0.2">
      <c r="A6" s="8" t="s">
        <v>4</v>
      </c>
      <c r="B6" s="107">
        <v>2600669.4300000002</v>
      </c>
      <c r="C6" s="108">
        <v>121404.55</v>
      </c>
      <c r="D6" s="108">
        <v>534864.14</v>
      </c>
      <c r="E6" s="108">
        <v>755563.06</v>
      </c>
      <c r="F6" s="109"/>
      <c r="G6" s="110">
        <v>7205519.4100000001</v>
      </c>
      <c r="H6" s="111">
        <v>13990.45</v>
      </c>
      <c r="I6" s="94">
        <f t="shared" ref="I6:I17" si="0">SUM(B6:H6)</f>
        <v>11232011.039999999</v>
      </c>
      <c r="J6" s="71">
        <f>SUM(I6)</f>
        <v>11232011.039999999</v>
      </c>
      <c r="K6" s="142">
        <f>I6/1</f>
        <v>11232011.039999999</v>
      </c>
      <c r="L6" s="135">
        <v>11371699.73</v>
      </c>
      <c r="M6" s="87">
        <f>L6</f>
        <v>11371699.73</v>
      </c>
    </row>
    <row r="7" spans="1:13" ht="14.1" customHeight="1" x14ac:dyDescent="0.2">
      <c r="A7" s="8" t="s">
        <v>5</v>
      </c>
      <c r="B7" s="112">
        <v>2411453.21</v>
      </c>
      <c r="C7" s="113">
        <v>93058.32</v>
      </c>
      <c r="D7" s="113">
        <v>544611.82999999996</v>
      </c>
      <c r="E7" s="113">
        <v>325204.2</v>
      </c>
      <c r="F7" s="91"/>
      <c r="G7" s="87">
        <v>8114721.3200000003</v>
      </c>
      <c r="H7" s="92">
        <v>28315.29</v>
      </c>
      <c r="I7" s="94">
        <f t="shared" si="0"/>
        <v>11517364.17</v>
      </c>
      <c r="J7" s="71">
        <f>SUM(I6:I7)</f>
        <v>22749375.210000001</v>
      </c>
      <c r="K7" s="142">
        <f>SUM(I6:I7)/2</f>
        <v>11374687.605</v>
      </c>
      <c r="L7" s="135">
        <v>11418746.890000001</v>
      </c>
      <c r="M7" s="87">
        <f>SUM(L6:L7)</f>
        <v>22790446.620000001</v>
      </c>
    </row>
    <row r="8" spans="1:13" ht="14.1" customHeight="1" x14ac:dyDescent="0.2">
      <c r="A8" s="8" t="s">
        <v>6</v>
      </c>
      <c r="B8" s="112">
        <v>2051370.99</v>
      </c>
      <c r="C8" s="113">
        <v>185733.76000000001</v>
      </c>
      <c r="D8" s="113">
        <v>462010.88</v>
      </c>
      <c r="E8" s="113">
        <v>7390888.6399999997</v>
      </c>
      <c r="F8" s="91"/>
      <c r="G8" s="87">
        <v>4906762.29</v>
      </c>
      <c r="H8" s="92">
        <v>1588.98</v>
      </c>
      <c r="I8" s="94">
        <f t="shared" si="0"/>
        <v>14998355.539999999</v>
      </c>
      <c r="J8" s="71">
        <f>SUM(I6:I8)</f>
        <v>37747730.75</v>
      </c>
      <c r="K8" s="142">
        <f>SUM(I6:I8)/3</f>
        <v>12582576.916666666</v>
      </c>
      <c r="L8" s="135">
        <v>13681176.25</v>
      </c>
      <c r="M8" s="87">
        <f>SUM(L6:L8)</f>
        <v>36471622.870000005</v>
      </c>
    </row>
    <row r="9" spans="1:13" ht="14.1" customHeight="1" x14ac:dyDescent="0.2">
      <c r="A9" s="8" t="s">
        <v>7</v>
      </c>
      <c r="B9" s="112">
        <v>1845603.13</v>
      </c>
      <c r="C9" s="113">
        <v>0</v>
      </c>
      <c r="D9" s="113">
        <v>403496.5</v>
      </c>
      <c r="E9" s="113">
        <v>1123190.77</v>
      </c>
      <c r="F9" s="91"/>
      <c r="G9" s="87">
        <v>5480745.7000000002</v>
      </c>
      <c r="H9" s="92">
        <v>0</v>
      </c>
      <c r="I9" s="94">
        <f t="shared" si="0"/>
        <v>8853036.0999999996</v>
      </c>
      <c r="J9" s="71">
        <f>SUM(I6:I9)</f>
        <v>46600766.850000001</v>
      </c>
      <c r="K9" s="142">
        <f>SUM(I6:I9)/4</f>
        <v>11650191.7125</v>
      </c>
      <c r="L9" s="135">
        <v>8890422.2400000002</v>
      </c>
      <c r="M9" s="87">
        <f>SUM(L6:L9)</f>
        <v>45362045.110000007</v>
      </c>
    </row>
    <row r="10" spans="1:13" ht="14.1" customHeight="1" x14ac:dyDescent="0.2">
      <c r="A10" s="8" t="s">
        <v>8</v>
      </c>
      <c r="B10" s="112">
        <v>2322061.31</v>
      </c>
      <c r="C10" s="113">
        <v>0</v>
      </c>
      <c r="D10" s="113">
        <v>487932.21</v>
      </c>
      <c r="E10" s="113">
        <v>954704.12</v>
      </c>
      <c r="F10" s="91"/>
      <c r="G10" s="87">
        <v>7452536.2300000004</v>
      </c>
      <c r="H10" s="92">
        <v>0</v>
      </c>
      <c r="I10" s="94">
        <f t="shared" si="0"/>
        <v>11217233.870000001</v>
      </c>
      <c r="J10" s="90">
        <f>SUM(I6:I10)</f>
        <v>57818000.719999999</v>
      </c>
      <c r="K10" s="142">
        <f>SUM(I6:I10)/5</f>
        <v>11563600.143999999</v>
      </c>
      <c r="L10" s="135">
        <v>12209882.439999999</v>
      </c>
      <c r="M10" s="91">
        <f>SUM(L6:L10)</f>
        <v>57571927.550000004</v>
      </c>
    </row>
    <row r="11" spans="1:13" ht="14.1" customHeight="1" x14ac:dyDescent="0.2">
      <c r="A11" s="8" t="s">
        <v>9</v>
      </c>
      <c r="B11" s="112">
        <v>2545616.09</v>
      </c>
      <c r="C11" s="113">
        <v>0</v>
      </c>
      <c r="D11" s="113">
        <v>530650.93999999994</v>
      </c>
      <c r="E11" s="113">
        <v>5768418.9100000001</v>
      </c>
      <c r="F11" s="91"/>
      <c r="G11" s="87">
        <v>6388945.5999999996</v>
      </c>
      <c r="H11" s="92">
        <v>4896081.5599999996</v>
      </c>
      <c r="I11" s="94">
        <f t="shared" si="0"/>
        <v>20129713.099999998</v>
      </c>
      <c r="J11" s="90">
        <f>SUM(I6:I11)</f>
        <v>77947713.819999993</v>
      </c>
      <c r="K11" s="142">
        <f>SUM(I6:I11)/6</f>
        <v>12991285.636666665</v>
      </c>
      <c r="L11" s="135">
        <v>18078658.010000002</v>
      </c>
      <c r="M11" s="91">
        <f>SUM(L6:L11)</f>
        <v>75650585.560000002</v>
      </c>
    </row>
    <row r="12" spans="1:13" ht="14.1" customHeight="1" x14ac:dyDescent="0.2">
      <c r="A12" s="8" t="s">
        <v>10</v>
      </c>
      <c r="B12" s="112">
        <v>2678888.39</v>
      </c>
      <c r="C12" s="113">
        <v>614158.24</v>
      </c>
      <c r="D12" s="113">
        <v>884297.36</v>
      </c>
      <c r="E12" s="113">
        <v>9463369.2100000009</v>
      </c>
      <c r="F12" s="113">
        <v>1336840</v>
      </c>
      <c r="G12" s="114">
        <v>6669172.4199999999</v>
      </c>
      <c r="H12" s="92">
        <v>408886.63</v>
      </c>
      <c r="I12" s="94">
        <f t="shared" si="0"/>
        <v>22055612.25</v>
      </c>
      <c r="J12" s="90">
        <f>SUM(I6:I12)</f>
        <v>100003326.06999999</v>
      </c>
      <c r="K12" s="142">
        <f>SUM(I6:I12)/7</f>
        <v>14286189.438571427</v>
      </c>
      <c r="L12" s="135">
        <v>25744130.530000001</v>
      </c>
      <c r="M12" s="91">
        <f>SUM(L6:L12)</f>
        <v>101394716.09</v>
      </c>
    </row>
    <row r="13" spans="1:13" ht="14.1" customHeight="1" x14ac:dyDescent="0.2">
      <c r="A13" s="8" t="s">
        <v>11</v>
      </c>
      <c r="B13" s="112">
        <v>2657470.5</v>
      </c>
      <c r="C13" s="113">
        <v>0</v>
      </c>
      <c r="D13" s="113">
        <v>608328.29</v>
      </c>
      <c r="E13" s="113">
        <v>0</v>
      </c>
      <c r="F13" s="91"/>
      <c r="G13" s="87">
        <v>7786062.6399999997</v>
      </c>
      <c r="H13" s="92">
        <v>16418.63</v>
      </c>
      <c r="I13" s="94">
        <f t="shared" si="0"/>
        <v>11068280.060000001</v>
      </c>
      <c r="J13" s="90">
        <f>SUM(I6:I13)</f>
        <v>111071606.13</v>
      </c>
      <c r="K13" s="142">
        <f>SUM(I6:I13)/8</f>
        <v>13883950.766249999</v>
      </c>
      <c r="L13" s="135">
        <v>11650599.68</v>
      </c>
      <c r="M13" s="91">
        <f>SUM(L6:L13)</f>
        <v>113045315.77000001</v>
      </c>
    </row>
    <row r="14" spans="1:13" ht="14.1" customHeight="1" x14ac:dyDescent="0.2">
      <c r="A14" s="8" t="s">
        <v>12</v>
      </c>
      <c r="B14" s="112">
        <v>2247875.16</v>
      </c>
      <c r="C14" s="113">
        <v>256201.32</v>
      </c>
      <c r="D14" s="113">
        <v>660308.77</v>
      </c>
      <c r="E14" s="113">
        <v>3651818.84</v>
      </c>
      <c r="F14" s="91"/>
      <c r="G14" s="87">
        <v>5763620.4500000002</v>
      </c>
      <c r="H14" s="92">
        <v>138875.56</v>
      </c>
      <c r="I14" s="94">
        <f t="shared" si="0"/>
        <v>12718700.1</v>
      </c>
      <c r="J14" s="90">
        <f>SUM(I6:I14)</f>
        <v>123790306.22999999</v>
      </c>
      <c r="K14" s="142">
        <f>SUM(I6:I14)/9</f>
        <v>13754478.469999999</v>
      </c>
      <c r="L14" s="135">
        <v>13089806.220000001</v>
      </c>
      <c r="M14" s="91">
        <f>SUM(L6:L14)</f>
        <v>126135121.99000001</v>
      </c>
    </row>
    <row r="15" spans="1:13" ht="14.1" customHeight="1" x14ac:dyDescent="0.2">
      <c r="A15" s="8" t="s">
        <v>13</v>
      </c>
      <c r="B15" s="112">
        <v>2531396.9300000002</v>
      </c>
      <c r="C15" s="113">
        <v>198713.86</v>
      </c>
      <c r="D15" s="113">
        <v>526548.34</v>
      </c>
      <c r="E15" s="113">
        <v>3657453.96</v>
      </c>
      <c r="F15" s="91"/>
      <c r="G15" s="87">
        <v>6293561.7400000002</v>
      </c>
      <c r="H15" s="92">
        <v>13813.66</v>
      </c>
      <c r="I15" s="94">
        <f t="shared" si="0"/>
        <v>13221488.49</v>
      </c>
      <c r="J15" s="90">
        <f>SUM(I6:I15)</f>
        <v>137011794.72</v>
      </c>
      <c r="K15" s="142">
        <f>SUM(I6:I15)/10</f>
        <v>13701179.471999999</v>
      </c>
      <c r="L15" s="135">
        <v>10083975.98</v>
      </c>
      <c r="M15" s="91">
        <f>SUM(L6:L15)</f>
        <v>136219097.97</v>
      </c>
    </row>
    <row r="16" spans="1:13" ht="14.1" customHeight="1" x14ac:dyDescent="0.2">
      <c r="A16" s="8" t="s">
        <v>14</v>
      </c>
      <c r="B16" s="112">
        <v>2598298.9300000002</v>
      </c>
      <c r="C16" s="113">
        <v>119367.66</v>
      </c>
      <c r="D16" s="113">
        <v>478887.07</v>
      </c>
      <c r="E16" s="113">
        <v>424117.51</v>
      </c>
      <c r="F16" s="91"/>
      <c r="G16" s="87">
        <v>8700633.8900000006</v>
      </c>
      <c r="H16" s="92">
        <v>5895.63</v>
      </c>
      <c r="I16" s="94">
        <f t="shared" si="0"/>
        <v>12327200.690000001</v>
      </c>
      <c r="J16" s="165">
        <f>SUM(I6:I16)</f>
        <v>149338995.41</v>
      </c>
      <c r="K16" s="214">
        <f>SUM(I6:I16)/11</f>
        <v>13576272.310000001</v>
      </c>
      <c r="L16" s="135">
        <v>12767786.59</v>
      </c>
      <c r="M16" s="87">
        <f>SUM(L6:L16)</f>
        <v>148986884.56</v>
      </c>
    </row>
    <row r="17" spans="1:13" ht="14.1" customHeight="1" thickBot="1" x14ac:dyDescent="0.25">
      <c r="A17" s="8" t="s">
        <v>15</v>
      </c>
      <c r="B17" s="112">
        <v>3063495.59</v>
      </c>
      <c r="C17" s="113">
        <v>543067.18999999994</v>
      </c>
      <c r="D17" s="113">
        <v>506352.85</v>
      </c>
      <c r="E17" s="113">
        <v>7544201.1399999997</v>
      </c>
      <c r="F17" s="91"/>
      <c r="G17" s="87">
        <v>7647907.9699999997</v>
      </c>
      <c r="H17" s="92">
        <v>1338907.2</v>
      </c>
      <c r="I17" s="94">
        <f t="shared" si="0"/>
        <v>20643931.939999998</v>
      </c>
      <c r="J17" s="165">
        <f>SUM(I6:I17)</f>
        <v>169982927.34999999</v>
      </c>
      <c r="K17" s="142">
        <f>SUM(I6:I17)/12</f>
        <v>14165243.945833333</v>
      </c>
      <c r="L17" s="169">
        <v>20231842.73</v>
      </c>
      <c r="M17" s="24">
        <f>SUM(L6:L17)</f>
        <v>169218727.28999999</v>
      </c>
    </row>
    <row r="18" spans="1:13" ht="39" customHeight="1" thickBot="1" x14ac:dyDescent="0.25">
      <c r="A18" s="25" t="s">
        <v>72</v>
      </c>
      <c r="B18" s="26">
        <f>SUM(B6:B17)</f>
        <v>29554199.660000004</v>
      </c>
      <c r="C18" s="26">
        <f t="shared" ref="C18:H18" si="1">SUM(C6:C17)</f>
        <v>2131704.8999999994</v>
      </c>
      <c r="D18" s="26">
        <f t="shared" si="1"/>
        <v>6628289.1799999997</v>
      </c>
      <c r="E18" s="26">
        <f t="shared" si="1"/>
        <v>41058930.359999999</v>
      </c>
      <c r="F18" s="26">
        <f t="shared" si="1"/>
        <v>1336840</v>
      </c>
      <c r="G18" s="26">
        <f t="shared" si="1"/>
        <v>82410189.659999996</v>
      </c>
      <c r="H18" s="26">
        <f t="shared" si="1"/>
        <v>6862773.5899999989</v>
      </c>
      <c r="I18" s="27">
        <f>SUM(I6:I17)</f>
        <v>169982927.34999999</v>
      </c>
      <c r="J18" s="68" t="s">
        <v>31</v>
      </c>
      <c r="K18" s="28"/>
      <c r="L18" s="136">
        <f>SUM(L6:L17)</f>
        <v>169218727.28999999</v>
      </c>
    </row>
    <row r="19" spans="1:13" ht="12" customHeight="1" x14ac:dyDescent="0.2">
      <c r="A19" s="29"/>
      <c r="B19" s="30"/>
      <c r="C19" s="30"/>
      <c r="D19" s="30"/>
      <c r="E19" s="30"/>
      <c r="F19" s="30"/>
      <c r="G19" s="30"/>
      <c r="H19" s="30"/>
      <c r="J19" s="31">
        <f>SUM(B18:H18)</f>
        <v>169982927.34999999</v>
      </c>
      <c r="K19" s="32"/>
      <c r="L19" s="170"/>
    </row>
    <row r="20" spans="1:13" ht="46.5" customHeight="1" x14ac:dyDescent="0.2">
      <c r="A20" s="59" t="s">
        <v>97</v>
      </c>
      <c r="B20" s="156">
        <v>28800000</v>
      </c>
      <c r="C20" s="156">
        <v>1980000</v>
      </c>
      <c r="D20" s="156">
        <v>5370000</v>
      </c>
      <c r="E20" s="156">
        <v>39530000</v>
      </c>
      <c r="F20" s="156">
        <v>1337000</v>
      </c>
      <c r="G20" s="156">
        <v>84430000</v>
      </c>
      <c r="H20" s="157">
        <v>6927000</v>
      </c>
      <c r="I20" s="158">
        <f>SUM(B20:H20)</f>
        <v>168374000</v>
      </c>
      <c r="J20" s="114"/>
      <c r="K20" s="32"/>
      <c r="L20" s="137">
        <f>L18/12</f>
        <v>14101560.6075</v>
      </c>
    </row>
    <row r="21" spans="1:13" ht="46.5" hidden="1" customHeight="1" x14ac:dyDescent="0.2">
      <c r="A21" s="115" t="s">
        <v>70</v>
      </c>
      <c r="B21" s="156"/>
      <c r="C21" s="156"/>
      <c r="D21" s="156"/>
      <c r="E21" s="156"/>
      <c r="F21" s="156"/>
      <c r="G21" s="156"/>
      <c r="H21" s="157"/>
      <c r="I21" s="158">
        <f>SUM(B21:H21)</f>
        <v>0</v>
      </c>
      <c r="J21" s="114"/>
      <c r="K21" s="32"/>
      <c r="L21" s="67" t="s">
        <v>66</v>
      </c>
    </row>
    <row r="22" spans="1:13" ht="46.5" hidden="1" customHeight="1" x14ac:dyDescent="0.2">
      <c r="A22" s="115" t="s">
        <v>45</v>
      </c>
      <c r="B22" s="116"/>
      <c r="C22" s="125"/>
      <c r="D22" s="125"/>
      <c r="E22" s="125"/>
      <c r="F22" s="125"/>
      <c r="G22" s="125"/>
      <c r="H22" s="126"/>
      <c r="I22" s="127"/>
      <c r="J22" s="173"/>
      <c r="K22" s="30"/>
      <c r="L22" s="63"/>
    </row>
    <row r="23" spans="1:13" ht="46.5" hidden="1" customHeight="1" x14ac:dyDescent="0.2">
      <c r="A23" s="115" t="s">
        <v>51</v>
      </c>
      <c r="B23" s="116"/>
      <c r="C23" s="125"/>
      <c r="D23" s="125"/>
      <c r="E23" s="125"/>
      <c r="F23" s="125"/>
      <c r="G23" s="125"/>
      <c r="H23" s="126"/>
      <c r="I23" s="127"/>
      <c r="J23" s="173"/>
      <c r="K23" s="30"/>
      <c r="L23" s="63"/>
    </row>
    <row r="24" spans="1:13" ht="46.5" customHeight="1" x14ac:dyDescent="0.2">
      <c r="A24" s="34" t="s">
        <v>22</v>
      </c>
      <c r="B24" s="53">
        <f>B18/B20</f>
        <v>1.0261874881944446</v>
      </c>
      <c r="C24" s="53">
        <f t="shared" ref="C24:H24" si="2">C18/C20</f>
        <v>1.0766186363636361</v>
      </c>
      <c r="D24" s="53">
        <f t="shared" si="2"/>
        <v>1.2343182830540036</v>
      </c>
      <c r="E24" s="53">
        <f t="shared" si="2"/>
        <v>1.0386777222362762</v>
      </c>
      <c r="F24" s="53">
        <f>F20/F18</f>
        <v>1.0001196852278507</v>
      </c>
      <c r="G24" s="53">
        <f t="shared" si="2"/>
        <v>0.97607710126732194</v>
      </c>
      <c r="H24" s="53">
        <f t="shared" si="2"/>
        <v>0.99072810596217686</v>
      </c>
      <c r="I24" s="53">
        <f>I18/I20</f>
        <v>1.0095556757575397</v>
      </c>
      <c r="J24" s="174"/>
      <c r="K24" s="32"/>
      <c r="L24" s="30"/>
    </row>
    <row r="25" spans="1:13" ht="12" customHeight="1" x14ac:dyDescent="0.2">
      <c r="A25" s="29"/>
      <c r="B25" s="30"/>
      <c r="C25" s="30"/>
      <c r="D25" s="30"/>
      <c r="E25" s="30"/>
      <c r="F25" s="96"/>
      <c r="G25" s="30"/>
      <c r="H25" s="30"/>
      <c r="I25" s="30"/>
      <c r="J25" s="114"/>
      <c r="K25" s="32"/>
      <c r="L25" s="30"/>
    </row>
    <row r="26" spans="1:13" ht="31.5" customHeight="1" x14ac:dyDescent="0.2">
      <c r="A26" s="128" t="s">
        <v>95</v>
      </c>
      <c r="B26" s="129">
        <v>26959537.170000002</v>
      </c>
      <c r="C26" s="129">
        <v>2203546.91</v>
      </c>
      <c r="D26" s="129">
        <v>6359588.4000000004</v>
      </c>
      <c r="E26" s="129">
        <v>46100569.399999999</v>
      </c>
      <c r="F26" s="129">
        <v>687800</v>
      </c>
      <c r="G26" s="129">
        <v>83009339.950000003</v>
      </c>
      <c r="H26" s="138">
        <v>3898345.46</v>
      </c>
      <c r="I26" s="139">
        <f>SUM(B26:H26)</f>
        <v>169218727.28999999</v>
      </c>
    </row>
    <row r="27" spans="1:13" ht="18" customHeight="1" x14ac:dyDescent="0.2">
      <c r="A27" s="36"/>
      <c r="B27" s="37"/>
      <c r="C27" s="37"/>
      <c r="D27" s="37"/>
      <c r="E27" s="37"/>
      <c r="F27" s="37"/>
      <c r="G27" s="37"/>
      <c r="H27" s="37"/>
      <c r="I27" s="30"/>
    </row>
    <row r="28" spans="1:13" ht="17.100000000000001" customHeight="1" x14ac:dyDescent="0.2">
      <c r="A28" s="38"/>
      <c r="B28" s="114"/>
      <c r="C28" s="37"/>
      <c r="D28" s="39"/>
      <c r="E28" s="39"/>
      <c r="F28" s="39"/>
      <c r="G28" s="40"/>
    </row>
    <row r="29" spans="1:13" ht="12" customHeight="1" x14ac:dyDescent="0.2">
      <c r="A29" s="175"/>
      <c r="B29" s="42" t="s">
        <v>26</v>
      </c>
      <c r="C29" s="43"/>
      <c r="D29" s="43"/>
      <c r="E29" s="37"/>
      <c r="F29" s="39"/>
      <c r="G29" s="40"/>
      <c r="I29" s="106" t="s">
        <v>98</v>
      </c>
    </row>
    <row r="30" spans="1:13" ht="45" customHeight="1" x14ac:dyDescent="0.2">
      <c r="B30" s="147" t="s">
        <v>24</v>
      </c>
      <c r="C30" s="57" t="s">
        <v>35</v>
      </c>
      <c r="D30" s="56" t="s">
        <v>20</v>
      </c>
      <c r="E30" s="45"/>
      <c r="F30" s="39"/>
      <c r="I30" s="105"/>
      <c r="J30" s="7" t="s">
        <v>99</v>
      </c>
      <c r="K30" s="123" t="s">
        <v>71</v>
      </c>
      <c r="L30" s="123" t="s">
        <v>67</v>
      </c>
      <c r="M30" s="123" t="s">
        <v>54</v>
      </c>
    </row>
    <row r="31" spans="1:13" ht="21.95" customHeight="1" x14ac:dyDescent="0.2">
      <c r="A31" s="170" t="s">
        <v>27</v>
      </c>
      <c r="B31" s="87">
        <f>$C$44*1</f>
        <v>13919750</v>
      </c>
      <c r="C31" s="176">
        <v>11232011.039999999</v>
      </c>
      <c r="D31" s="46">
        <f t="shared" ref="D31:D42" si="3">C31-B31</f>
        <v>-2687738.9600000009</v>
      </c>
      <c r="E31" s="63" t="s">
        <v>30</v>
      </c>
      <c r="F31" s="44"/>
      <c r="I31" s="103" t="s">
        <v>0</v>
      </c>
      <c r="J31" s="11">
        <v>1211</v>
      </c>
      <c r="K31" s="101">
        <v>1211</v>
      </c>
      <c r="L31" s="101">
        <v>1211</v>
      </c>
      <c r="M31" s="101">
        <v>1211</v>
      </c>
    </row>
    <row r="32" spans="1:13" ht="15.75" customHeight="1" x14ac:dyDescent="0.2">
      <c r="A32" s="170" t="s">
        <v>5</v>
      </c>
      <c r="B32" s="87">
        <f>$C$44*2</f>
        <v>27839500</v>
      </c>
      <c r="C32" s="88">
        <v>22749375.210000001</v>
      </c>
      <c r="D32" s="46">
        <f t="shared" si="3"/>
        <v>-5090124.7899999991</v>
      </c>
      <c r="E32" s="63" t="s">
        <v>30</v>
      </c>
      <c r="F32" s="44"/>
      <c r="I32" s="104" t="s">
        <v>4</v>
      </c>
      <c r="J32" s="110">
        <v>7205519.4100000001</v>
      </c>
      <c r="K32" s="177">
        <v>7310044.29</v>
      </c>
      <c r="L32" s="177">
        <v>6244942.2400000002</v>
      </c>
      <c r="M32" s="177">
        <v>5255762.3</v>
      </c>
    </row>
    <row r="33" spans="1:13" ht="15.75" customHeight="1" x14ac:dyDescent="0.2">
      <c r="A33" s="170" t="s">
        <v>6</v>
      </c>
      <c r="B33" s="87">
        <f>$C$44*3</f>
        <v>41759250</v>
      </c>
      <c r="C33" s="88">
        <v>28747680.399999999</v>
      </c>
      <c r="D33" s="46">
        <f t="shared" si="3"/>
        <v>-13011569.600000001</v>
      </c>
      <c r="E33" s="63" t="s">
        <v>30</v>
      </c>
      <c r="F33" s="44"/>
      <c r="I33" s="104" t="s">
        <v>5</v>
      </c>
      <c r="J33" s="87">
        <v>8114721.3200000003</v>
      </c>
      <c r="K33" s="178">
        <v>8123262.3099999996</v>
      </c>
      <c r="L33" s="178">
        <v>7665699.6299999999</v>
      </c>
      <c r="M33" s="178">
        <v>6870715.8200000003</v>
      </c>
    </row>
    <row r="34" spans="1:13" ht="15.75" customHeight="1" x14ac:dyDescent="0.2">
      <c r="A34" s="170" t="s">
        <v>7</v>
      </c>
      <c r="B34" s="87">
        <f>$C$44*4</f>
        <v>55679000</v>
      </c>
      <c r="C34" s="88">
        <v>46600766.850000001</v>
      </c>
      <c r="D34" s="46">
        <f t="shared" si="3"/>
        <v>-9078233.1499999985</v>
      </c>
      <c r="E34" s="63" t="s">
        <v>30</v>
      </c>
      <c r="F34" s="44"/>
      <c r="I34" s="104" t="s">
        <v>6</v>
      </c>
      <c r="J34" s="87">
        <v>4906762.29</v>
      </c>
      <c r="K34" s="178">
        <v>4811335.6399999997</v>
      </c>
      <c r="L34" s="178">
        <v>3537018.85</v>
      </c>
      <c r="M34" s="178">
        <v>2671503.0099999998</v>
      </c>
    </row>
    <row r="35" spans="1:13" ht="15.75" customHeight="1" x14ac:dyDescent="0.2">
      <c r="A35" s="179" t="s">
        <v>8</v>
      </c>
      <c r="B35" s="87">
        <f>$C$44*5</f>
        <v>69598750</v>
      </c>
      <c r="C35" s="71">
        <v>57818000.719999999</v>
      </c>
      <c r="D35" s="46">
        <f t="shared" si="3"/>
        <v>-11780749.280000001</v>
      </c>
      <c r="E35" s="63" t="s">
        <v>30</v>
      </c>
      <c r="F35" s="44"/>
      <c r="I35" s="104" t="s">
        <v>7</v>
      </c>
      <c r="J35" s="87">
        <v>5480745.7000000002</v>
      </c>
      <c r="K35" s="178">
        <v>5358931.93</v>
      </c>
      <c r="L35" s="178">
        <v>5460752.2599999998</v>
      </c>
      <c r="M35" s="178">
        <v>4053519.95</v>
      </c>
    </row>
    <row r="36" spans="1:13" ht="15.75" customHeight="1" x14ac:dyDescent="0.2">
      <c r="A36" s="170" t="s">
        <v>9</v>
      </c>
      <c r="B36" s="87">
        <f>$C$44*6</f>
        <v>83518500</v>
      </c>
      <c r="C36" s="71">
        <v>77947713.280000001</v>
      </c>
      <c r="D36" s="24">
        <f t="shared" si="3"/>
        <v>-5570786.7199999988</v>
      </c>
      <c r="E36" s="63" t="s">
        <v>30</v>
      </c>
      <c r="F36" s="39"/>
      <c r="I36" s="104" t="s">
        <v>8</v>
      </c>
      <c r="J36" s="87">
        <v>7452536.2300000004</v>
      </c>
      <c r="K36" s="178">
        <v>8865657.4399999995</v>
      </c>
      <c r="L36" s="178">
        <v>8388824.7799999993</v>
      </c>
      <c r="M36" s="178">
        <v>6733585.4199999999</v>
      </c>
    </row>
    <row r="37" spans="1:13" ht="15.75" customHeight="1" x14ac:dyDescent="0.2">
      <c r="A37" s="170" t="s">
        <v>10</v>
      </c>
      <c r="B37" s="87">
        <f>$C$44*7</f>
        <v>97438250</v>
      </c>
      <c r="C37" s="180">
        <v>100003326.06999999</v>
      </c>
      <c r="D37" s="24">
        <f t="shared" si="3"/>
        <v>2565076.0699999928</v>
      </c>
      <c r="E37" s="63" t="s">
        <v>40</v>
      </c>
      <c r="F37" s="44"/>
      <c r="I37" s="104" t="s">
        <v>9</v>
      </c>
      <c r="J37" s="87">
        <v>6388945.5999999996</v>
      </c>
      <c r="K37" s="178">
        <v>5657616</v>
      </c>
      <c r="L37" s="178">
        <v>5488121.7800000003</v>
      </c>
      <c r="M37" s="178">
        <v>4811765.8</v>
      </c>
    </row>
    <row r="38" spans="1:13" ht="15.75" customHeight="1" x14ac:dyDescent="0.2">
      <c r="A38" s="170" t="s">
        <v>11</v>
      </c>
      <c r="B38" s="87">
        <f>$C$44*8</f>
        <v>111358000</v>
      </c>
      <c r="C38" s="71">
        <v>111071606.13</v>
      </c>
      <c r="D38" s="46">
        <f t="shared" si="3"/>
        <v>-286393.87000000477</v>
      </c>
      <c r="E38" s="63" t="s">
        <v>30</v>
      </c>
      <c r="F38" s="44"/>
      <c r="I38" s="104" t="s">
        <v>10</v>
      </c>
      <c r="J38" s="181">
        <v>6669172.4199999999</v>
      </c>
      <c r="K38" s="182">
        <v>7208286.29</v>
      </c>
      <c r="L38" s="182">
        <v>7158675.4400000004</v>
      </c>
      <c r="M38" s="182">
        <v>5796931.3499999996</v>
      </c>
    </row>
    <row r="39" spans="1:13" ht="15.75" customHeight="1" x14ac:dyDescent="0.2">
      <c r="A39" s="170" t="s">
        <v>12</v>
      </c>
      <c r="B39" s="87">
        <f>$C$44*9</f>
        <v>125277750</v>
      </c>
      <c r="C39" s="71">
        <v>123790306.23</v>
      </c>
      <c r="D39" s="46">
        <f t="shared" si="3"/>
        <v>-1487443.7699999958</v>
      </c>
      <c r="E39" s="63" t="s">
        <v>30</v>
      </c>
      <c r="F39" s="44"/>
      <c r="I39" s="104" t="s">
        <v>11</v>
      </c>
      <c r="J39" s="87">
        <v>7786062.6399999997</v>
      </c>
      <c r="K39" s="178">
        <v>8529809.9900000002</v>
      </c>
      <c r="L39" s="178">
        <v>8052979.3700000001</v>
      </c>
      <c r="M39" s="178">
        <v>7294324.4900000002</v>
      </c>
    </row>
    <row r="40" spans="1:13" ht="15.75" customHeight="1" x14ac:dyDescent="0.2">
      <c r="A40" s="170" t="s">
        <v>13</v>
      </c>
      <c r="B40" s="87">
        <f>$C$44*10</f>
        <v>139197500</v>
      </c>
      <c r="C40" s="71">
        <v>137011794.72</v>
      </c>
      <c r="D40" s="46">
        <f t="shared" si="3"/>
        <v>-2185705.2800000012</v>
      </c>
      <c r="E40" s="63" t="s">
        <v>30</v>
      </c>
      <c r="F40" s="44"/>
      <c r="I40" s="104" t="s">
        <v>12</v>
      </c>
      <c r="J40" s="87">
        <v>5763620.4500000002</v>
      </c>
      <c r="K40" s="178">
        <v>4727185.7300000004</v>
      </c>
      <c r="L40" s="178">
        <v>5479097.7000000002</v>
      </c>
      <c r="M40" s="178">
        <v>4526669.63</v>
      </c>
    </row>
    <row r="41" spans="1:13" ht="15.75" customHeight="1" x14ac:dyDescent="0.2">
      <c r="A41" s="170" t="s">
        <v>23</v>
      </c>
      <c r="B41" s="87">
        <f>$C$44*11</f>
        <v>153117250</v>
      </c>
      <c r="C41" s="71">
        <v>149338995.41</v>
      </c>
      <c r="D41" s="46">
        <f t="shared" si="3"/>
        <v>-3778254.5900000036</v>
      </c>
      <c r="E41" s="63" t="s">
        <v>30</v>
      </c>
      <c r="F41" s="44"/>
      <c r="I41" s="104" t="s">
        <v>13</v>
      </c>
      <c r="J41" s="87">
        <v>6293561.7400000002</v>
      </c>
      <c r="K41" s="178">
        <v>5796086.8399999999</v>
      </c>
      <c r="L41" s="178">
        <v>6540916.7699999996</v>
      </c>
      <c r="M41" s="178">
        <v>5564919.0700000003</v>
      </c>
    </row>
    <row r="42" spans="1:13" ht="15.75" customHeight="1" x14ac:dyDescent="0.2">
      <c r="A42" s="170" t="s">
        <v>15</v>
      </c>
      <c r="B42" s="87">
        <f>$C$44*12</f>
        <v>167037000</v>
      </c>
      <c r="C42" s="71">
        <v>169982927.34999999</v>
      </c>
      <c r="D42" s="46">
        <f t="shared" si="3"/>
        <v>2945927.349999994</v>
      </c>
      <c r="E42" s="63"/>
      <c r="F42" s="44"/>
      <c r="I42" s="104" t="s">
        <v>14</v>
      </c>
      <c r="J42" s="87">
        <v>8700633.8900000006</v>
      </c>
      <c r="K42" s="178">
        <v>8358407.2300000004</v>
      </c>
      <c r="L42" s="178">
        <v>9474035.6799999997</v>
      </c>
      <c r="M42" s="178">
        <v>7698895.7300000004</v>
      </c>
    </row>
    <row r="43" spans="1:13" ht="15.75" customHeight="1" x14ac:dyDescent="0.2">
      <c r="A43" s="245" t="s">
        <v>25</v>
      </c>
      <c r="B43" s="245"/>
      <c r="C43" s="160">
        <v>167037000</v>
      </c>
      <c r="D43" s="183"/>
      <c r="E43" s="183"/>
      <c r="F43" s="44"/>
      <c r="I43" s="104" t="s">
        <v>15</v>
      </c>
      <c r="J43" s="87">
        <v>7647907.9699999997</v>
      </c>
      <c r="K43" s="178">
        <v>8272716.2599999998</v>
      </c>
      <c r="L43" s="178">
        <v>6340723.4299999997</v>
      </c>
      <c r="M43" s="178">
        <v>6843575.6200000001</v>
      </c>
    </row>
    <row r="44" spans="1:13" ht="35.25" customHeight="1" x14ac:dyDescent="0.2">
      <c r="A44" s="235" t="s">
        <v>37</v>
      </c>
      <c r="B44" s="235"/>
      <c r="C44" s="194">
        <f>C43/12</f>
        <v>13919750</v>
      </c>
      <c r="D44" s="183"/>
      <c r="E44" s="183"/>
      <c r="F44" s="44"/>
      <c r="I44" s="76" t="s">
        <v>44</v>
      </c>
      <c r="J44" s="26">
        <f t="shared" ref="J44" si="4">SUM(J32:J43)</f>
        <v>82410189.659999996</v>
      </c>
      <c r="K44" s="99">
        <f>SUM(K32:K43)</f>
        <v>83019339.950000018</v>
      </c>
      <c r="L44" s="99">
        <f>SUM(L32:L43)</f>
        <v>79831787.930000007</v>
      </c>
      <c r="M44" s="99">
        <f>SUM(M32:M43)</f>
        <v>68122168.190000013</v>
      </c>
    </row>
    <row r="45" spans="1:13" ht="35.25" hidden="1" customHeight="1" x14ac:dyDescent="0.2">
      <c r="A45" s="235" t="s">
        <v>100</v>
      </c>
      <c r="B45" s="235"/>
      <c r="C45" s="160">
        <f>I21/12</f>
        <v>0</v>
      </c>
      <c r="D45" s="120"/>
      <c r="E45" s="183"/>
      <c r="F45" s="44"/>
      <c r="I45" s="121"/>
      <c r="J45" s="60"/>
      <c r="K45" s="60"/>
      <c r="L45" s="60"/>
    </row>
    <row r="46" spans="1:13" ht="24" customHeight="1" x14ac:dyDescent="0.2">
      <c r="A46" s="62" t="s">
        <v>36</v>
      </c>
      <c r="B46" s="161"/>
      <c r="C46" s="72"/>
      <c r="D46" s="120"/>
      <c r="E46" s="183"/>
      <c r="F46" s="44"/>
      <c r="I46" s="121"/>
      <c r="J46" s="60"/>
      <c r="K46" s="60"/>
      <c r="L46" s="60"/>
    </row>
    <row r="47" spans="1:13" x14ac:dyDescent="0.2">
      <c r="A47" s="36"/>
      <c r="B47" s="37"/>
      <c r="C47" s="37"/>
      <c r="D47" s="37"/>
      <c r="E47" s="37"/>
      <c r="F47" s="37"/>
      <c r="G47" s="37"/>
      <c r="H47" s="37"/>
      <c r="I47" s="30"/>
      <c r="K47" s="30"/>
    </row>
    <row r="48" spans="1:13" ht="15.75" x14ac:dyDescent="0.2">
      <c r="A48" s="1" t="s">
        <v>101</v>
      </c>
      <c r="B48" s="114"/>
      <c r="D48" s="48"/>
      <c r="E48" s="47"/>
      <c r="F48" s="47"/>
      <c r="G48" s="47"/>
      <c r="H48" s="47"/>
      <c r="I48" s="47"/>
      <c r="J48" s="47"/>
      <c r="K48" s="47"/>
    </row>
    <row r="49" spans="1:11" ht="15.75" x14ac:dyDescent="0.2">
      <c r="A49" s="1"/>
      <c r="B49" s="114"/>
      <c r="D49" s="48"/>
      <c r="E49" s="47"/>
      <c r="F49" s="47"/>
      <c r="G49" s="47"/>
      <c r="H49" s="47"/>
      <c r="I49" s="47"/>
      <c r="J49" s="47"/>
      <c r="K49" s="47"/>
    </row>
    <row r="50" spans="1:11" x14ac:dyDescent="0.2">
      <c r="A50" s="70" t="s">
        <v>17</v>
      </c>
      <c r="B50" s="246" t="s">
        <v>102</v>
      </c>
      <c r="C50" s="246"/>
      <c r="D50" s="246"/>
      <c r="E50" s="246"/>
      <c r="F50" s="246"/>
      <c r="G50" s="98"/>
      <c r="H50" s="97"/>
    </row>
    <row r="51" spans="1:11" ht="38.25" customHeight="1" x14ac:dyDescent="0.2">
      <c r="A51" s="5" t="s">
        <v>18</v>
      </c>
      <c r="B51" s="49" t="s">
        <v>41</v>
      </c>
      <c r="C51" s="8" t="s">
        <v>38</v>
      </c>
      <c r="D51" s="233" t="s">
        <v>39</v>
      </c>
      <c r="E51" s="247" t="s">
        <v>42</v>
      </c>
      <c r="F51" s="241" t="s">
        <v>21</v>
      </c>
      <c r="G51" s="236" t="s">
        <v>95</v>
      </c>
      <c r="H51" s="243" t="s">
        <v>96</v>
      </c>
    </row>
    <row r="52" spans="1:11" ht="30" customHeight="1" x14ac:dyDescent="0.2">
      <c r="A52" s="9" t="s">
        <v>0</v>
      </c>
      <c r="B52" s="73">
        <v>1381</v>
      </c>
      <c r="C52" s="141" t="s">
        <v>103</v>
      </c>
      <c r="D52" s="234"/>
      <c r="E52" s="248"/>
      <c r="F52" s="242"/>
      <c r="G52" s="237"/>
      <c r="H52" s="244"/>
    </row>
    <row r="53" spans="1:11" ht="14.1" customHeight="1" x14ac:dyDescent="0.2">
      <c r="A53" s="49" t="s">
        <v>4</v>
      </c>
      <c r="B53" s="185">
        <v>0</v>
      </c>
      <c r="C53" s="85">
        <v>0</v>
      </c>
      <c r="D53" s="82">
        <f>SUM(B53:C53)</f>
        <v>0</v>
      </c>
      <c r="E53" s="86">
        <f>D53</f>
        <v>0</v>
      </c>
      <c r="F53" s="151">
        <f>E53/1</f>
        <v>0</v>
      </c>
      <c r="G53" s="186">
        <v>1191.77</v>
      </c>
      <c r="H53" s="110">
        <f>SUM(G53)</f>
        <v>1191.77</v>
      </c>
    </row>
    <row r="54" spans="1:11" ht="14.1" customHeight="1" x14ac:dyDescent="0.2">
      <c r="A54" s="49" t="s">
        <v>5</v>
      </c>
      <c r="B54" s="122">
        <v>342558.16</v>
      </c>
      <c r="C54" s="85">
        <v>0</v>
      </c>
      <c r="D54" s="82">
        <f t="shared" ref="D54:D65" si="5">SUM(B54:C54)</f>
        <v>342558.16</v>
      </c>
      <c r="E54" s="86">
        <f>SUM($D$53:D54)</f>
        <v>342558.16</v>
      </c>
      <c r="F54" s="144">
        <f>E54/2</f>
        <v>171279.08</v>
      </c>
      <c r="G54" s="131">
        <v>332214.58</v>
      </c>
      <c r="H54" s="87">
        <f>SUM(G53:G54)</f>
        <v>333406.35000000003</v>
      </c>
    </row>
    <row r="55" spans="1:11" ht="14.1" customHeight="1" x14ac:dyDescent="0.2">
      <c r="A55" s="49" t="s">
        <v>6</v>
      </c>
      <c r="B55" s="122">
        <v>0</v>
      </c>
      <c r="C55" s="85">
        <v>0</v>
      </c>
      <c r="D55" s="82">
        <f t="shared" si="5"/>
        <v>0</v>
      </c>
      <c r="E55" s="86">
        <f>SUM($D$53:D55)</f>
        <v>342558.16</v>
      </c>
      <c r="F55" s="144">
        <f>E55/3</f>
        <v>114186.05333333333</v>
      </c>
      <c r="G55" s="131">
        <v>1771.36</v>
      </c>
      <c r="H55" s="87">
        <f>SUM(G53:G55)</f>
        <v>335177.71000000002</v>
      </c>
    </row>
    <row r="56" spans="1:11" ht="14.1" customHeight="1" x14ac:dyDescent="0.2">
      <c r="A56" s="49" t="s">
        <v>7</v>
      </c>
      <c r="B56" s="122">
        <v>0</v>
      </c>
      <c r="C56" s="85">
        <v>0</v>
      </c>
      <c r="D56" s="82">
        <f t="shared" si="5"/>
        <v>0</v>
      </c>
      <c r="E56" s="86">
        <f>SUM($D$53:D56)</f>
        <v>342558.16</v>
      </c>
      <c r="F56" s="144">
        <f>E56/4</f>
        <v>85639.54</v>
      </c>
      <c r="G56" s="131">
        <v>0</v>
      </c>
      <c r="H56" s="87">
        <f>SUM(G53:G56)</f>
        <v>335177.71000000002</v>
      </c>
    </row>
    <row r="57" spans="1:11" ht="14.1" customHeight="1" x14ac:dyDescent="0.2">
      <c r="A57" s="49" t="s">
        <v>8</v>
      </c>
      <c r="B57" s="122">
        <v>0</v>
      </c>
      <c r="C57" s="85">
        <v>454894.5</v>
      </c>
      <c r="D57" s="82">
        <f t="shared" si="5"/>
        <v>454894.5</v>
      </c>
      <c r="E57" s="86">
        <f>SUM($D$53:D57)</f>
        <v>797452.65999999992</v>
      </c>
      <c r="F57" s="144">
        <f>E57/5</f>
        <v>159490.53199999998</v>
      </c>
      <c r="G57" s="131">
        <v>292225.73</v>
      </c>
      <c r="H57" s="87">
        <f>SUM(G53:G57)</f>
        <v>627403.43999999994</v>
      </c>
    </row>
    <row r="58" spans="1:11" ht="14.1" customHeight="1" x14ac:dyDescent="0.2">
      <c r="A58" s="49" t="s">
        <v>9</v>
      </c>
      <c r="B58" s="122">
        <v>0</v>
      </c>
      <c r="C58" s="85">
        <v>23043.9</v>
      </c>
      <c r="D58" s="82">
        <f>SUM(B58:C58)</f>
        <v>23043.9</v>
      </c>
      <c r="E58" s="86">
        <f>SUM($D$53:D58)</f>
        <v>820496.55999999994</v>
      </c>
      <c r="F58" s="144">
        <f>E58/6</f>
        <v>136749.42666666667</v>
      </c>
      <c r="G58" s="131">
        <v>2071.2600000000002</v>
      </c>
      <c r="H58" s="155">
        <f>SUM(G53:G58)</f>
        <v>629474.69999999995</v>
      </c>
    </row>
    <row r="59" spans="1:11" ht="14.1" customHeight="1" x14ac:dyDescent="0.2">
      <c r="A59" s="49" t="s">
        <v>10</v>
      </c>
      <c r="B59" s="122">
        <v>1162.49</v>
      </c>
      <c r="C59" s="85">
        <f>1240.47+12615.16</f>
        <v>13855.63</v>
      </c>
      <c r="D59" s="82">
        <f t="shared" si="5"/>
        <v>15018.119999999999</v>
      </c>
      <c r="E59" s="86">
        <f>SUM($D$53:D59)</f>
        <v>835514.67999999993</v>
      </c>
      <c r="F59" s="144">
        <f>E59/7</f>
        <v>119359.23999999999</v>
      </c>
      <c r="G59" s="131">
        <v>522.08000000000004</v>
      </c>
      <c r="H59" s="155">
        <f>SUM(G53:G59)</f>
        <v>629996.77999999991</v>
      </c>
    </row>
    <row r="60" spans="1:11" ht="14.1" customHeight="1" x14ac:dyDescent="0.2">
      <c r="A60" s="49" t="s">
        <v>11</v>
      </c>
      <c r="B60" s="122">
        <v>0</v>
      </c>
      <c r="C60" s="85">
        <f>367311.08+148635.18</f>
        <v>515946.26</v>
      </c>
      <c r="D60" s="82">
        <f t="shared" si="5"/>
        <v>515946.26</v>
      </c>
      <c r="E60" s="86">
        <f>SUM($D$53:D60)</f>
        <v>1351460.94</v>
      </c>
      <c r="F60" s="144">
        <f>E60/8</f>
        <v>168932.61749999999</v>
      </c>
      <c r="G60" s="131">
        <v>293646.36</v>
      </c>
      <c r="H60" s="155">
        <f>SUM(G53:G60)</f>
        <v>923643.1399999999</v>
      </c>
    </row>
    <row r="61" spans="1:11" ht="14.1" customHeight="1" x14ac:dyDescent="0.2">
      <c r="A61" s="49" t="s">
        <v>12</v>
      </c>
      <c r="B61" s="122">
        <v>0</v>
      </c>
      <c r="C61" s="85">
        <v>4891.49</v>
      </c>
      <c r="D61" s="82">
        <f t="shared" si="5"/>
        <v>4891.49</v>
      </c>
      <c r="E61" s="86">
        <f>SUM($D$53:D61)</f>
        <v>1356352.43</v>
      </c>
      <c r="F61" s="144">
        <f>E61/9</f>
        <v>150705.82555555555</v>
      </c>
      <c r="G61" s="131">
        <v>0</v>
      </c>
      <c r="H61" s="155">
        <f>SUM(G53:G61)</f>
        <v>923643.1399999999</v>
      </c>
    </row>
    <row r="62" spans="1:11" ht="14.1" customHeight="1" x14ac:dyDescent="0.2">
      <c r="A62" s="49" t="s">
        <v>13</v>
      </c>
      <c r="B62" s="122">
        <v>0</v>
      </c>
      <c r="C62" s="85">
        <v>6485.61</v>
      </c>
      <c r="D62" s="82">
        <f t="shared" si="5"/>
        <v>6485.61</v>
      </c>
      <c r="E62" s="86">
        <f>SUM($D$53:D62)</f>
        <v>1362838.04</v>
      </c>
      <c r="F62" s="144">
        <f>E62/10</f>
        <v>136283.804</v>
      </c>
      <c r="G62" s="131">
        <v>0</v>
      </c>
      <c r="H62" s="155">
        <f>SUM(G53:G62)</f>
        <v>923643.1399999999</v>
      </c>
    </row>
    <row r="63" spans="1:11" ht="14.1" customHeight="1" x14ac:dyDescent="0.2">
      <c r="A63" s="49" t="s">
        <v>14</v>
      </c>
      <c r="B63" s="122">
        <v>0</v>
      </c>
      <c r="C63" s="85">
        <f>276301.9+138017.07</f>
        <v>414318.97000000003</v>
      </c>
      <c r="D63" s="82">
        <f t="shared" si="5"/>
        <v>414318.97000000003</v>
      </c>
      <c r="E63" s="168">
        <f>SUM($D$53:D63)</f>
        <v>1777157.01</v>
      </c>
      <c r="F63" s="215">
        <f>E63/11</f>
        <v>161559.72818181818</v>
      </c>
      <c r="G63" s="131">
        <v>251141.04</v>
      </c>
      <c r="H63" s="87">
        <f>SUM(G53:G63)</f>
        <v>1174784.18</v>
      </c>
    </row>
    <row r="64" spans="1:11" ht="14.1" customHeight="1" x14ac:dyDescent="0.2">
      <c r="A64" s="49" t="s">
        <v>15</v>
      </c>
      <c r="B64" s="187">
        <v>0</v>
      </c>
      <c r="C64" s="188">
        <f>96.7+201.7+1605.1</f>
        <v>1903.5</v>
      </c>
      <c r="D64" s="196">
        <f t="shared" si="5"/>
        <v>1903.5</v>
      </c>
      <c r="E64" s="168">
        <f>SUM($D$53:D64)</f>
        <v>1779060.51</v>
      </c>
      <c r="F64" s="145">
        <f>E64/12</f>
        <v>148255.04250000001</v>
      </c>
      <c r="G64" s="131">
        <v>2220.6999999999998</v>
      </c>
      <c r="H64" s="24">
        <f>SUM(G53:G64)</f>
        <v>1177004.8799999999</v>
      </c>
    </row>
    <row r="65" spans="1:12" ht="39" customHeight="1" x14ac:dyDescent="0.2">
      <c r="A65" s="76" t="s">
        <v>72</v>
      </c>
      <c r="B65" s="26">
        <f>SUM(B53:B64)</f>
        <v>343720.64999999997</v>
      </c>
      <c r="C65" s="84">
        <f>SUM(C53:C64)</f>
        <v>1435339.86</v>
      </c>
      <c r="D65" s="195">
        <f t="shared" si="5"/>
        <v>1779060.51</v>
      </c>
      <c r="E65" s="80"/>
      <c r="F65" s="79"/>
      <c r="G65" s="133">
        <f>SUM(G53:G64)</f>
        <v>1177004.8799999999</v>
      </c>
    </row>
    <row r="66" spans="1:12" ht="12.95" customHeight="1" x14ac:dyDescent="0.2">
      <c r="A66" s="61"/>
      <c r="B66" s="60"/>
      <c r="F66" s="50"/>
      <c r="G66" s="24"/>
    </row>
    <row r="67" spans="1:12" ht="33" customHeight="1" x14ac:dyDescent="0.2">
      <c r="A67" s="59" t="s">
        <v>97</v>
      </c>
      <c r="B67" s="162">
        <v>700000</v>
      </c>
      <c r="C67" s="162">
        <v>0</v>
      </c>
      <c r="D67" s="143">
        <f>SUM(B67:C67)</f>
        <v>700000</v>
      </c>
      <c r="F67" s="29"/>
      <c r="G67" s="134">
        <f>G65/12</f>
        <v>98083.739999999991</v>
      </c>
    </row>
    <row r="68" spans="1:12" ht="33" hidden="1" customHeight="1" x14ac:dyDescent="0.2">
      <c r="A68" s="117" t="s">
        <v>69</v>
      </c>
      <c r="B68" s="162"/>
      <c r="C68" s="162"/>
      <c r="D68" s="143">
        <f>SUM(B68:C68)</f>
        <v>0</v>
      </c>
      <c r="F68" s="29"/>
      <c r="G68" s="67" t="s">
        <v>66</v>
      </c>
    </row>
    <row r="69" spans="1:12" ht="33" hidden="1" customHeight="1" x14ac:dyDescent="0.2">
      <c r="A69" s="117" t="s">
        <v>49</v>
      </c>
      <c r="B69" s="152"/>
      <c r="C69" s="153"/>
      <c r="D69" s="118">
        <f>SUM(B69:C69)</f>
        <v>0</v>
      </c>
      <c r="F69" s="29"/>
      <c r="G69" s="67"/>
    </row>
    <row r="70" spans="1:12" ht="33" hidden="1" customHeight="1" x14ac:dyDescent="0.2">
      <c r="A70" s="115" t="s">
        <v>51</v>
      </c>
      <c r="B70" s="148"/>
      <c r="C70" s="149"/>
      <c r="D70" s="118">
        <f>SUM(B70:C70)</f>
        <v>0</v>
      </c>
      <c r="F70" s="29"/>
      <c r="G70" s="67"/>
    </row>
    <row r="71" spans="1:12" s="54" customFormat="1" ht="24" customHeight="1" x14ac:dyDescent="0.2">
      <c r="A71" s="51" t="s">
        <v>22</v>
      </c>
      <c r="B71" s="53">
        <f>B65/B67</f>
        <v>0.49102949999999995</v>
      </c>
      <c r="C71" s="53" t="e">
        <f>C65/C67</f>
        <v>#DIV/0!</v>
      </c>
      <c r="D71" s="154">
        <f>D65/D67</f>
        <v>2.5415150142857144</v>
      </c>
      <c r="E71" s="52"/>
      <c r="F71" s="70"/>
      <c r="H71" s="66"/>
      <c r="K71" s="70"/>
      <c r="L71" s="70"/>
    </row>
    <row r="72" spans="1:12" ht="15.75" customHeight="1" x14ac:dyDescent="0.2">
      <c r="C72" s="190"/>
      <c r="E72" s="164"/>
      <c r="F72" s="66"/>
    </row>
    <row r="73" spans="1:12" ht="26.45" customHeight="1" x14ac:dyDescent="0.2">
      <c r="A73" s="128" t="s">
        <v>95</v>
      </c>
      <c r="B73" s="129">
        <v>1176752.08</v>
      </c>
      <c r="C73" s="138">
        <v>252.8</v>
      </c>
      <c r="D73" s="146">
        <f>SUM(B73:C73)</f>
        <v>1177004.8800000001</v>
      </c>
      <c r="E73" s="164"/>
      <c r="F73" s="66"/>
    </row>
    <row r="74" spans="1:12" ht="24" customHeight="1" x14ac:dyDescent="0.2">
      <c r="C74" s="190"/>
      <c r="E74" s="164"/>
      <c r="F74" s="66"/>
    </row>
    <row r="75" spans="1:12" ht="19.5" customHeight="1" x14ac:dyDescent="0.2">
      <c r="A75" s="75" t="s">
        <v>26</v>
      </c>
      <c r="B75" s="43"/>
      <c r="C75" s="43"/>
      <c r="D75" s="37"/>
      <c r="G75" s="41"/>
    </row>
    <row r="76" spans="1:12" ht="16.5" customHeight="1" x14ac:dyDescent="0.2">
      <c r="B76" s="56" t="s">
        <v>24</v>
      </c>
      <c r="C76" s="57" t="s">
        <v>35</v>
      </c>
      <c r="D76" s="56" t="s">
        <v>20</v>
      </c>
      <c r="E76" s="45"/>
    </row>
    <row r="77" spans="1:12" ht="17.100000000000001" customHeight="1" x14ac:dyDescent="0.2">
      <c r="A77" s="170" t="s">
        <v>4</v>
      </c>
      <c r="B77" s="181">
        <f>C90*1</f>
        <v>58333.333333333336</v>
      </c>
      <c r="C77" s="176">
        <v>0</v>
      </c>
      <c r="D77" s="46">
        <f t="shared" ref="D77:D88" si="6">C77-B77</f>
        <v>-58333.333333333336</v>
      </c>
      <c r="E77" s="63" t="s">
        <v>30</v>
      </c>
    </row>
    <row r="78" spans="1:12" ht="17.100000000000001" customHeight="1" x14ac:dyDescent="0.2">
      <c r="A78" s="170" t="s">
        <v>5</v>
      </c>
      <c r="B78" s="191">
        <f>$C$90*2</f>
        <v>116666.66666666667</v>
      </c>
      <c r="C78" s="88">
        <v>342558.16</v>
      </c>
      <c r="D78" s="24">
        <f t="shared" si="6"/>
        <v>225891.49333333329</v>
      </c>
      <c r="E78" s="63" t="s">
        <v>40</v>
      </c>
    </row>
    <row r="79" spans="1:12" ht="15.95" customHeight="1" x14ac:dyDescent="0.2">
      <c r="A79" s="170" t="s">
        <v>6</v>
      </c>
      <c r="B79" s="191">
        <f>$C$90*3</f>
        <v>175000</v>
      </c>
      <c r="C79" s="88">
        <v>342558.16</v>
      </c>
      <c r="D79" s="24">
        <f t="shared" si="6"/>
        <v>167558.15999999997</v>
      </c>
      <c r="E79" s="63" t="s">
        <v>40</v>
      </c>
      <c r="F79" s="39"/>
    </row>
    <row r="80" spans="1:12" ht="18" customHeight="1" x14ac:dyDescent="0.2">
      <c r="A80" s="170" t="s">
        <v>7</v>
      </c>
      <c r="B80" s="191">
        <f>$C$90*4</f>
        <v>233333.33333333334</v>
      </c>
      <c r="C80" s="88">
        <v>342558.16</v>
      </c>
      <c r="D80" s="24">
        <f t="shared" si="6"/>
        <v>109224.82666666663</v>
      </c>
      <c r="E80" s="63" t="s">
        <v>40</v>
      </c>
      <c r="F80" s="44"/>
    </row>
    <row r="81" spans="1:6" ht="15.75" customHeight="1" x14ac:dyDescent="0.2">
      <c r="A81" s="170" t="s">
        <v>8</v>
      </c>
      <c r="B81" s="191">
        <f>$C$90*5</f>
        <v>291666.66666666669</v>
      </c>
      <c r="C81" s="71">
        <v>797452.66</v>
      </c>
      <c r="D81" s="24">
        <f t="shared" si="6"/>
        <v>505785.99333333335</v>
      </c>
      <c r="E81" s="63" t="s">
        <v>40</v>
      </c>
      <c r="F81" s="44"/>
    </row>
    <row r="82" spans="1:6" ht="15.75" customHeight="1" x14ac:dyDescent="0.2">
      <c r="A82" s="170" t="s">
        <v>9</v>
      </c>
      <c r="B82" s="191">
        <f>$C$90*6</f>
        <v>350000</v>
      </c>
      <c r="C82" s="71">
        <v>820496.56</v>
      </c>
      <c r="D82" s="24">
        <f t="shared" si="6"/>
        <v>470496.56000000006</v>
      </c>
      <c r="E82" s="63" t="s">
        <v>40</v>
      </c>
      <c r="F82" s="44"/>
    </row>
    <row r="83" spans="1:6" ht="15.75" customHeight="1" x14ac:dyDescent="0.2">
      <c r="A83" s="170" t="s">
        <v>10</v>
      </c>
      <c r="B83" s="191">
        <f>$C$90*7</f>
        <v>408333.33333333337</v>
      </c>
      <c r="C83" s="71">
        <v>835514.68</v>
      </c>
      <c r="D83" s="24">
        <f t="shared" si="6"/>
        <v>427181.34666666668</v>
      </c>
      <c r="E83" s="63" t="s">
        <v>40</v>
      </c>
      <c r="F83" s="44"/>
    </row>
    <row r="84" spans="1:6" ht="15.75" customHeight="1" x14ac:dyDescent="0.2">
      <c r="A84" s="170" t="s">
        <v>11</v>
      </c>
      <c r="B84" s="191">
        <f>$C$90*8</f>
        <v>466666.66666666669</v>
      </c>
      <c r="C84" s="192">
        <v>1351460.94</v>
      </c>
      <c r="D84" s="24">
        <f t="shared" si="6"/>
        <v>884794.2733333332</v>
      </c>
      <c r="E84" s="63" t="s">
        <v>40</v>
      </c>
      <c r="F84" s="44"/>
    </row>
    <row r="85" spans="1:6" ht="15.75" customHeight="1" x14ac:dyDescent="0.2">
      <c r="A85" s="170" t="s">
        <v>12</v>
      </c>
      <c r="B85" s="191">
        <f>$C$90*9</f>
        <v>525000</v>
      </c>
      <c r="C85" s="71">
        <v>1356352.43</v>
      </c>
      <c r="D85" s="24">
        <f t="shared" si="6"/>
        <v>831352.42999999993</v>
      </c>
      <c r="E85" s="63" t="s">
        <v>40</v>
      </c>
      <c r="F85" s="39"/>
    </row>
    <row r="86" spans="1:6" ht="15.75" customHeight="1" x14ac:dyDescent="0.2">
      <c r="A86" s="170" t="s">
        <v>13</v>
      </c>
      <c r="B86" s="191">
        <f>$C$90*10</f>
        <v>583333.33333333337</v>
      </c>
      <c r="C86" s="71">
        <v>1362838.04</v>
      </c>
      <c r="D86" s="24">
        <f t="shared" si="6"/>
        <v>779504.70666666667</v>
      </c>
      <c r="E86" s="63" t="s">
        <v>40</v>
      </c>
      <c r="F86" s="44"/>
    </row>
    <row r="87" spans="1:6" ht="15.75" customHeight="1" x14ac:dyDescent="0.2">
      <c r="A87" s="170" t="s">
        <v>23</v>
      </c>
      <c r="B87" s="191">
        <f>$C$90*11</f>
        <v>641666.66666666674</v>
      </c>
      <c r="C87" s="71">
        <v>1777157.01</v>
      </c>
      <c r="D87" s="24">
        <f t="shared" si="6"/>
        <v>1135490.3433333333</v>
      </c>
      <c r="E87" s="63" t="s">
        <v>40</v>
      </c>
      <c r="F87" s="44"/>
    </row>
    <row r="88" spans="1:6" ht="15.75" customHeight="1" x14ac:dyDescent="0.2">
      <c r="A88" s="170" t="s">
        <v>15</v>
      </c>
      <c r="B88" s="191">
        <f>$C$90*12</f>
        <v>700000</v>
      </c>
      <c r="C88" s="71">
        <v>1779060.51</v>
      </c>
      <c r="D88" s="24">
        <f t="shared" si="6"/>
        <v>1079060.51</v>
      </c>
      <c r="E88" s="63"/>
      <c r="F88" s="44"/>
    </row>
    <row r="89" spans="1:6" ht="15.75" customHeight="1" x14ac:dyDescent="0.2">
      <c r="B89" s="163" t="s">
        <v>25</v>
      </c>
      <c r="C89" s="160">
        <v>700000</v>
      </c>
      <c r="D89" s="183"/>
      <c r="E89" s="183"/>
      <c r="F89" s="44"/>
    </row>
    <row r="90" spans="1:6" ht="44.25" customHeight="1" x14ac:dyDescent="0.2">
      <c r="B90" s="119" t="s">
        <v>37</v>
      </c>
      <c r="C90" s="194">
        <f>C89/12</f>
        <v>58333.333333333336</v>
      </c>
      <c r="E90" s="183"/>
      <c r="F90" s="44"/>
    </row>
    <row r="91" spans="1:6" ht="44.25" hidden="1" customHeight="1" x14ac:dyDescent="0.2">
      <c r="A91" s="235" t="s">
        <v>65</v>
      </c>
      <c r="B91" s="235"/>
      <c r="C91" s="194">
        <f>D68/12</f>
        <v>0</v>
      </c>
      <c r="D91" s="120"/>
      <c r="E91" s="183"/>
      <c r="F91" s="44"/>
    </row>
    <row r="92" spans="1:6" ht="44.25" hidden="1" customHeight="1" x14ac:dyDescent="0.2">
      <c r="A92" s="235" t="s">
        <v>50</v>
      </c>
      <c r="B92" s="235"/>
      <c r="C92" s="150">
        <f>D69/12</f>
        <v>0</v>
      </c>
      <c r="D92" s="120"/>
      <c r="E92" s="183"/>
      <c r="F92" s="44"/>
    </row>
    <row r="93" spans="1:6" ht="15.75" customHeight="1" x14ac:dyDescent="0.2">
      <c r="A93" s="62" t="s">
        <v>36</v>
      </c>
      <c r="B93" s="184"/>
      <c r="C93" s="184"/>
      <c r="D93" s="37"/>
      <c r="F93" s="44"/>
    </row>
    <row r="94" spans="1:6" ht="15.75" customHeight="1" x14ac:dyDescent="0.2">
      <c r="F94" s="44"/>
    </row>
    <row r="95" spans="1:6" x14ac:dyDescent="0.2">
      <c r="A95" s="193"/>
      <c r="B95" s="114"/>
      <c r="C95" s="37"/>
    </row>
    <row r="96" spans="1:6" x14ac:dyDescent="0.2">
      <c r="A96" s="193"/>
      <c r="B96" s="114"/>
      <c r="C96" s="37"/>
    </row>
  </sheetData>
  <mergeCells count="17">
    <mergeCell ref="G51:G52"/>
    <mergeCell ref="H51:H52"/>
    <mergeCell ref="A91:B91"/>
    <mergeCell ref="A92:B92"/>
    <mergeCell ref="A43:B43"/>
    <mergeCell ref="A44:B44"/>
    <mergeCell ref="A45:B45"/>
    <mergeCell ref="B50:F50"/>
    <mergeCell ref="D51:D52"/>
    <mergeCell ref="E51:E52"/>
    <mergeCell ref="F51:F52"/>
    <mergeCell ref="M4:M5"/>
    <mergeCell ref="B3:K3"/>
    <mergeCell ref="I4:I5"/>
    <mergeCell ref="J4:J5"/>
    <mergeCell ref="K4:K5"/>
    <mergeCell ref="L4:L5"/>
  </mergeCells>
  <pageMargins left="0.7" right="0.7" top="0.75" bottom="0.75" header="0.3" footer="0.3"/>
  <pageSetup paperSize="9" scale="65" fitToHeight="3" orientation="landscape" r:id="rId1"/>
  <headerFooter alignWithMargins="0">
    <oddFooter>&amp;LPetra Friedlová&amp;Cstránka &amp;P&amp;R&amp;D</oddFooter>
  </headerFooter>
  <rowBreaks count="2" manualBreakCount="2">
    <brk id="28" max="16383" man="1"/>
    <brk id="7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79618-6A63-4FCC-9188-19BF6B7EB6EA}">
  <dimension ref="A1:M96"/>
  <sheetViews>
    <sheetView workbookViewId="0">
      <selection activeCell="A2" sqref="A2"/>
    </sheetView>
  </sheetViews>
  <sheetFormatPr defaultColWidth="9.140625" defaultRowHeight="12.75" x14ac:dyDescent="0.2"/>
  <cols>
    <col min="1" max="1" width="12.85546875" style="70" customWidth="1"/>
    <col min="2" max="2" width="14.42578125" style="70" customWidth="1"/>
    <col min="3" max="3" width="14.85546875" style="70" customWidth="1"/>
    <col min="4" max="4" width="15.28515625" style="70" customWidth="1"/>
    <col min="5" max="5" width="14.28515625" style="70" customWidth="1"/>
    <col min="6" max="6" width="16.42578125" style="70" customWidth="1"/>
    <col min="7" max="7" width="14.42578125" style="70" customWidth="1"/>
    <col min="8" max="8" width="13.5703125" style="70" customWidth="1"/>
    <col min="9" max="9" width="17" style="70" customWidth="1"/>
    <col min="10" max="10" width="14.5703125" style="70" customWidth="1"/>
    <col min="11" max="11" width="14.140625" style="70" customWidth="1"/>
    <col min="12" max="12" width="15.28515625" style="70" customWidth="1"/>
    <col min="13" max="13" width="14.85546875" style="70" customWidth="1"/>
    <col min="14" max="16384" width="9.140625" style="70"/>
  </cols>
  <sheetData>
    <row r="1" spans="1:13" ht="15.75" x14ac:dyDescent="0.2">
      <c r="A1" s="1" t="s">
        <v>73</v>
      </c>
      <c r="B1" s="2"/>
      <c r="C1" s="2"/>
      <c r="D1" s="2"/>
      <c r="E1" s="2"/>
      <c r="F1" s="2"/>
      <c r="G1" s="2"/>
    </row>
    <row r="2" spans="1:13" x14ac:dyDescent="0.2">
      <c r="A2" s="4"/>
    </row>
    <row r="3" spans="1:13" x14ac:dyDescent="0.2">
      <c r="A3" s="70" t="s">
        <v>17</v>
      </c>
      <c r="B3" s="228">
        <v>2023</v>
      </c>
      <c r="C3" s="229"/>
      <c r="D3" s="229"/>
      <c r="E3" s="229"/>
      <c r="F3" s="229"/>
      <c r="G3" s="229"/>
      <c r="H3" s="229"/>
      <c r="I3" s="229"/>
      <c r="J3" s="229"/>
      <c r="K3" s="239"/>
      <c r="L3" s="97"/>
      <c r="M3" s="97"/>
    </row>
    <row r="4" spans="1:13" ht="38.25" customHeight="1" x14ac:dyDescent="0.2">
      <c r="A4" s="5" t="s">
        <v>19</v>
      </c>
      <c r="B4" s="6" t="s">
        <v>32</v>
      </c>
      <c r="C4" s="7" t="s">
        <v>33</v>
      </c>
      <c r="D4" s="7" t="s">
        <v>34</v>
      </c>
      <c r="E4" s="7" t="s">
        <v>1</v>
      </c>
      <c r="F4" s="7" t="s">
        <v>16</v>
      </c>
      <c r="G4" s="7" t="s">
        <v>2</v>
      </c>
      <c r="H4" s="8" t="s">
        <v>3</v>
      </c>
      <c r="I4" s="226" t="s">
        <v>29</v>
      </c>
      <c r="J4" s="240" t="s">
        <v>42</v>
      </c>
      <c r="K4" s="241" t="s">
        <v>21</v>
      </c>
      <c r="L4" s="224" t="s">
        <v>74</v>
      </c>
      <c r="M4" s="238" t="s">
        <v>75</v>
      </c>
    </row>
    <row r="5" spans="1:13" ht="14.1" customHeight="1" x14ac:dyDescent="0.2">
      <c r="A5" s="9" t="s">
        <v>0</v>
      </c>
      <c r="B5" s="10">
        <v>1111</v>
      </c>
      <c r="C5" s="11">
        <v>1112</v>
      </c>
      <c r="D5" s="11">
        <v>1113</v>
      </c>
      <c r="E5" s="11">
        <v>1121</v>
      </c>
      <c r="F5" s="11">
        <v>1122</v>
      </c>
      <c r="G5" s="11">
        <v>1211</v>
      </c>
      <c r="H5" s="12">
        <v>1511</v>
      </c>
      <c r="I5" s="227"/>
      <c r="J5" s="240"/>
      <c r="K5" s="242"/>
      <c r="L5" s="225"/>
      <c r="M5" s="238"/>
    </row>
    <row r="6" spans="1:13" ht="14.1" customHeight="1" x14ac:dyDescent="0.2">
      <c r="A6" s="8" t="s">
        <v>4</v>
      </c>
      <c r="B6" s="107">
        <v>2437527.98</v>
      </c>
      <c r="C6" s="108">
        <v>126871.53</v>
      </c>
      <c r="D6" s="108">
        <v>496628.49</v>
      </c>
      <c r="E6" s="108">
        <v>948533.28</v>
      </c>
      <c r="F6" s="109"/>
      <c r="G6" s="110">
        <v>7310044.29</v>
      </c>
      <c r="H6" s="111">
        <v>52094.16</v>
      </c>
      <c r="I6" s="94">
        <f t="shared" ref="I6:I17" si="0">SUM(B6:H6)</f>
        <v>11371699.73</v>
      </c>
      <c r="J6" s="71">
        <f>SUM(I6)</f>
        <v>11371699.73</v>
      </c>
      <c r="K6" s="142">
        <f>I6/1</f>
        <v>11371699.73</v>
      </c>
      <c r="L6" s="135">
        <v>9690764.0299999993</v>
      </c>
      <c r="M6" s="87">
        <f>L6</f>
        <v>9690764.0299999993</v>
      </c>
    </row>
    <row r="7" spans="1:13" ht="14.1" customHeight="1" x14ac:dyDescent="0.2">
      <c r="A7" s="8" t="s">
        <v>5</v>
      </c>
      <c r="B7" s="112">
        <v>2333847.04</v>
      </c>
      <c r="C7" s="113">
        <v>82478.210000000006</v>
      </c>
      <c r="D7" s="113">
        <v>512377.08</v>
      </c>
      <c r="E7" s="113">
        <v>363209.25</v>
      </c>
      <c r="F7" s="91"/>
      <c r="G7" s="87">
        <v>8123262.3099999996</v>
      </c>
      <c r="H7" s="92">
        <v>3573</v>
      </c>
      <c r="I7" s="94">
        <f t="shared" si="0"/>
        <v>11418746.890000001</v>
      </c>
      <c r="J7" s="71">
        <f>SUM(I6:I7)</f>
        <v>22790446.620000001</v>
      </c>
      <c r="K7" s="142">
        <f>SUM(I6:I7)/2</f>
        <v>11395223.310000001</v>
      </c>
      <c r="L7" s="135">
        <v>10076435.99</v>
      </c>
      <c r="M7" s="87">
        <f>SUM(L6:L7)</f>
        <v>19767200.02</v>
      </c>
    </row>
    <row r="8" spans="1:13" ht="14.1" customHeight="1" x14ac:dyDescent="0.2">
      <c r="A8" s="8" t="s">
        <v>6</v>
      </c>
      <c r="B8" s="112">
        <v>1871854.25</v>
      </c>
      <c r="C8" s="113">
        <v>197396.52</v>
      </c>
      <c r="D8" s="113">
        <v>401532.26</v>
      </c>
      <c r="E8" s="113">
        <v>6399057.5800000001</v>
      </c>
      <c r="F8" s="91"/>
      <c r="G8" s="87">
        <v>4811335.6399999997</v>
      </c>
      <c r="H8" s="92">
        <v>0</v>
      </c>
      <c r="I8" s="94">
        <f t="shared" si="0"/>
        <v>13681176.25</v>
      </c>
      <c r="J8" s="71">
        <f>SUM(I6:I8)</f>
        <v>36471622.870000005</v>
      </c>
      <c r="K8" s="142">
        <f>SUM(I6:I8)/3</f>
        <v>12157207.623333335</v>
      </c>
      <c r="L8" s="135">
        <v>10378387.109999999</v>
      </c>
      <c r="M8" s="87">
        <f>SUM(L6:L8)</f>
        <v>30145587.129999999</v>
      </c>
    </row>
    <row r="9" spans="1:13" ht="14.1" customHeight="1" x14ac:dyDescent="0.2">
      <c r="A9" s="8" t="s">
        <v>7</v>
      </c>
      <c r="B9" s="112">
        <v>1623919.51</v>
      </c>
      <c r="C9" s="113">
        <v>0</v>
      </c>
      <c r="D9" s="113">
        <v>425695.29</v>
      </c>
      <c r="E9" s="113">
        <v>1478726.32</v>
      </c>
      <c r="F9" s="91"/>
      <c r="G9" s="87">
        <v>5358931.93</v>
      </c>
      <c r="H9" s="92">
        <v>3149.19</v>
      </c>
      <c r="I9" s="94">
        <f t="shared" si="0"/>
        <v>8890422.2400000002</v>
      </c>
      <c r="J9" s="71">
        <f>SUM(I6:I9)</f>
        <v>45362045.110000007</v>
      </c>
      <c r="K9" s="142">
        <f>SUM(I6:I9)/4</f>
        <v>11340511.277500002</v>
      </c>
      <c r="L9" s="135">
        <v>8436329.2699999996</v>
      </c>
      <c r="M9" s="87">
        <f>SUM(L6:L9)</f>
        <v>38581916.399999999</v>
      </c>
    </row>
    <row r="10" spans="1:13" ht="14.1" customHeight="1" x14ac:dyDescent="0.2">
      <c r="A10" s="8" t="s">
        <v>8</v>
      </c>
      <c r="B10" s="112">
        <v>2050453.74</v>
      </c>
      <c r="C10" s="113">
        <v>0</v>
      </c>
      <c r="D10" s="113">
        <v>460412.29</v>
      </c>
      <c r="E10" s="113">
        <v>832037.29</v>
      </c>
      <c r="F10" s="91"/>
      <c r="G10" s="87">
        <v>8865657.4399999995</v>
      </c>
      <c r="H10" s="92">
        <v>1321.68</v>
      </c>
      <c r="I10" s="94">
        <f t="shared" si="0"/>
        <v>12209882.439999999</v>
      </c>
      <c r="J10" s="90">
        <f>SUM(I6:I10)</f>
        <v>57571927.550000004</v>
      </c>
      <c r="K10" s="142">
        <f>SUM(I6:I10)/5</f>
        <v>11514385.510000002</v>
      </c>
      <c r="L10" s="135">
        <v>10967206.279999999</v>
      </c>
      <c r="M10" s="91">
        <f>SUM(L6:L10)</f>
        <v>49549122.68</v>
      </c>
    </row>
    <row r="11" spans="1:13" ht="14.1" customHeight="1" x14ac:dyDescent="0.2">
      <c r="A11" s="8" t="s">
        <v>9</v>
      </c>
      <c r="B11" s="112">
        <v>2451204.15</v>
      </c>
      <c r="C11" s="113">
        <v>0</v>
      </c>
      <c r="D11" s="113">
        <v>530038.16</v>
      </c>
      <c r="E11" s="113">
        <v>6674117.0199999996</v>
      </c>
      <c r="F11" s="91"/>
      <c r="G11" s="87">
        <v>5657616</v>
      </c>
      <c r="H11" s="92">
        <v>2765682.68</v>
      </c>
      <c r="I11" s="94">
        <f t="shared" si="0"/>
        <v>18078658.010000002</v>
      </c>
      <c r="J11" s="90">
        <f>SUM(I6:I11)</f>
        <v>75650585.560000002</v>
      </c>
      <c r="K11" s="142">
        <f>SUM(I6:I11)/6</f>
        <v>12608430.926666668</v>
      </c>
      <c r="L11" s="135">
        <v>16315776.210000001</v>
      </c>
      <c r="M11" s="91">
        <f>SUM(L6:L11)</f>
        <v>65864898.890000001</v>
      </c>
    </row>
    <row r="12" spans="1:13" ht="14.1" customHeight="1" x14ac:dyDescent="0.2">
      <c r="A12" s="8" t="s">
        <v>10</v>
      </c>
      <c r="B12" s="112">
        <v>2449122.9</v>
      </c>
      <c r="C12" s="113">
        <v>670949.09</v>
      </c>
      <c r="D12" s="113">
        <v>647456.25</v>
      </c>
      <c r="E12" s="113">
        <v>13999546.210000001</v>
      </c>
      <c r="F12" s="113">
        <v>687800</v>
      </c>
      <c r="G12" s="114">
        <v>7208286.29</v>
      </c>
      <c r="H12" s="92">
        <v>80969.789999999994</v>
      </c>
      <c r="I12" s="94">
        <f t="shared" si="0"/>
        <v>25744130.529999997</v>
      </c>
      <c r="J12" s="90">
        <f>SUM(I6:I12)</f>
        <v>101394716.09</v>
      </c>
      <c r="K12" s="142">
        <f>SUM(I6:I12)/7</f>
        <v>14484959.441428572</v>
      </c>
      <c r="L12" s="135">
        <v>22520861.449999999</v>
      </c>
      <c r="M12" s="91">
        <f>SUM(L6:L12)</f>
        <v>88385760.340000004</v>
      </c>
    </row>
    <row r="13" spans="1:13" ht="14.1" customHeight="1" x14ac:dyDescent="0.2">
      <c r="A13" s="8" t="s">
        <v>11</v>
      </c>
      <c r="B13" s="112">
        <v>2417044.17</v>
      </c>
      <c r="C13" s="113">
        <v>0</v>
      </c>
      <c r="D13" s="113">
        <v>625710.80000000005</v>
      </c>
      <c r="E13" s="113">
        <v>0</v>
      </c>
      <c r="F13" s="91"/>
      <c r="G13" s="87">
        <v>8529809.9900000002</v>
      </c>
      <c r="H13" s="92">
        <v>78034.720000000001</v>
      </c>
      <c r="I13" s="94">
        <f t="shared" si="0"/>
        <v>11650599.680000002</v>
      </c>
      <c r="J13" s="90">
        <f>SUM(I6:I13)</f>
        <v>113045315.77000001</v>
      </c>
      <c r="K13" s="142">
        <f>SUM(I6:I13)/8</f>
        <v>14130664.471250001</v>
      </c>
      <c r="L13" s="135">
        <v>10548861.41</v>
      </c>
      <c r="M13" s="91">
        <f>SUM(L6:L13)</f>
        <v>98934621.75</v>
      </c>
    </row>
    <row r="14" spans="1:13" ht="14.1" customHeight="1" x14ac:dyDescent="0.2">
      <c r="A14" s="8" t="s">
        <v>12</v>
      </c>
      <c r="B14" s="112">
        <v>1866908.45</v>
      </c>
      <c r="C14" s="113">
        <v>311562.36</v>
      </c>
      <c r="D14" s="113">
        <v>695444.12</v>
      </c>
      <c r="E14" s="113">
        <v>5391756.1900000004</v>
      </c>
      <c r="F14" s="91"/>
      <c r="G14" s="87">
        <v>4727185.7300000004</v>
      </c>
      <c r="H14" s="92">
        <v>96949.37</v>
      </c>
      <c r="I14" s="94">
        <f t="shared" si="0"/>
        <v>13089806.220000001</v>
      </c>
      <c r="J14" s="90">
        <f>SUM(I6:I14)</f>
        <v>126135121.99000001</v>
      </c>
      <c r="K14" s="142">
        <f>SUM(I6:I14)/9</f>
        <v>14015013.554444445</v>
      </c>
      <c r="L14" s="135">
        <v>14193195.93</v>
      </c>
      <c r="M14" s="91">
        <f>SUM(L6:L14)</f>
        <v>113127817.68000001</v>
      </c>
    </row>
    <row r="15" spans="1:13" ht="14.1" customHeight="1" x14ac:dyDescent="0.2">
      <c r="A15" s="8" t="s">
        <v>13</v>
      </c>
      <c r="B15" s="112">
        <v>2146366.13</v>
      </c>
      <c r="C15" s="113">
        <v>149432.79</v>
      </c>
      <c r="D15" s="113">
        <v>501808.3</v>
      </c>
      <c r="E15" s="113">
        <v>1441713.46</v>
      </c>
      <c r="F15" s="91"/>
      <c r="G15" s="87">
        <v>5786086.8399999999</v>
      </c>
      <c r="H15" s="92">
        <v>58568.46</v>
      </c>
      <c r="I15" s="94">
        <f t="shared" si="0"/>
        <v>10083975.98</v>
      </c>
      <c r="J15" s="90">
        <f>SUM(I6:I15)</f>
        <v>136219097.97</v>
      </c>
      <c r="K15" s="142">
        <f>SUM(I6:I15)/10</f>
        <v>13621909.797</v>
      </c>
      <c r="L15" s="135">
        <v>10116087.83</v>
      </c>
      <c r="M15" s="91">
        <f>SUM(L6:L15)</f>
        <v>123243905.51000001</v>
      </c>
    </row>
    <row r="16" spans="1:13" ht="14.1" customHeight="1" x14ac:dyDescent="0.2">
      <c r="A16" s="8" t="s">
        <v>14</v>
      </c>
      <c r="B16" s="112">
        <v>2484582.13</v>
      </c>
      <c r="C16" s="113">
        <v>128976.02</v>
      </c>
      <c r="D16" s="113">
        <v>541505.4</v>
      </c>
      <c r="E16" s="113">
        <v>1238738.17</v>
      </c>
      <c r="F16" s="91"/>
      <c r="G16" s="87">
        <v>8358407.2300000004</v>
      </c>
      <c r="H16" s="92">
        <v>15577.64</v>
      </c>
      <c r="I16" s="94">
        <f t="shared" si="0"/>
        <v>12767786.59</v>
      </c>
      <c r="J16" s="90">
        <f>SUM(I6:I16)</f>
        <v>148986884.56</v>
      </c>
      <c r="K16" s="142">
        <f>SUM(I6:I16)/11</f>
        <v>13544262.232727272</v>
      </c>
      <c r="L16" s="135">
        <v>12265816.43</v>
      </c>
      <c r="M16" s="87">
        <f>SUM(L6:L16)</f>
        <v>135509721.94</v>
      </c>
    </row>
    <row r="17" spans="1:13" ht="14.1" customHeight="1" thickBot="1" x14ac:dyDescent="0.25">
      <c r="A17" s="8" t="s">
        <v>15</v>
      </c>
      <c r="B17" s="112">
        <v>2826706.72</v>
      </c>
      <c r="C17" s="113">
        <v>535880.39</v>
      </c>
      <c r="D17" s="113">
        <v>520979.96</v>
      </c>
      <c r="E17" s="113">
        <v>7333134.6299999999</v>
      </c>
      <c r="F17" s="91"/>
      <c r="G17" s="87">
        <v>8272716.2599999998</v>
      </c>
      <c r="H17" s="92">
        <v>742424.77</v>
      </c>
      <c r="I17" s="94">
        <f t="shared" si="0"/>
        <v>20231842.73</v>
      </c>
      <c r="J17" s="165">
        <f>SUM(I6:I17)</f>
        <v>169218727.28999999</v>
      </c>
      <c r="K17" s="142">
        <f>SUM(I6:I17)/12</f>
        <v>14101560.6075</v>
      </c>
      <c r="L17" s="169">
        <v>16858890.899999999</v>
      </c>
      <c r="M17" s="24">
        <f>SUM(L6:L17)</f>
        <v>152368612.84</v>
      </c>
    </row>
    <row r="18" spans="1:13" ht="47.25" customHeight="1" thickBot="1" x14ac:dyDescent="0.25">
      <c r="A18" s="25" t="s">
        <v>28</v>
      </c>
      <c r="B18" s="26">
        <f>SUM(B6:B17)</f>
        <v>26959537.169999998</v>
      </c>
      <c r="C18" s="26">
        <f t="shared" ref="C18:H18" si="1">SUM(C6:C17)</f>
        <v>2203546.91</v>
      </c>
      <c r="D18" s="26">
        <f t="shared" si="1"/>
        <v>6359588.4000000004</v>
      </c>
      <c r="E18" s="26">
        <f t="shared" si="1"/>
        <v>46100569.400000006</v>
      </c>
      <c r="F18" s="26">
        <f t="shared" si="1"/>
        <v>687800</v>
      </c>
      <c r="G18" s="26">
        <f t="shared" si="1"/>
        <v>83009339.950000018</v>
      </c>
      <c r="H18" s="26">
        <f t="shared" si="1"/>
        <v>3898345.4600000004</v>
      </c>
      <c r="I18" s="27">
        <f>SUM(I6:I17)</f>
        <v>169218727.28999999</v>
      </c>
      <c r="J18" s="68" t="s">
        <v>31</v>
      </c>
      <c r="K18" s="28"/>
      <c r="L18" s="136">
        <f>SUM(L6:L17)</f>
        <v>152368612.84</v>
      </c>
    </row>
    <row r="19" spans="1:13" ht="12" customHeight="1" x14ac:dyDescent="0.2">
      <c r="A19" s="29"/>
      <c r="B19" s="30"/>
      <c r="C19" s="30"/>
      <c r="D19" s="30"/>
      <c r="E19" s="30"/>
      <c r="F19" s="30"/>
      <c r="G19" s="30"/>
      <c r="H19" s="30"/>
      <c r="J19" s="31">
        <f>SUM(B18:H18)</f>
        <v>169218727.29000002</v>
      </c>
      <c r="K19" s="32"/>
      <c r="L19" s="170"/>
    </row>
    <row r="20" spans="1:13" ht="46.5" customHeight="1" x14ac:dyDescent="0.2">
      <c r="A20" s="59" t="s">
        <v>68</v>
      </c>
      <c r="B20" s="156">
        <v>26090000</v>
      </c>
      <c r="C20" s="156">
        <v>2110000</v>
      </c>
      <c r="D20" s="156">
        <v>5720000</v>
      </c>
      <c r="E20" s="156">
        <v>36870000</v>
      </c>
      <c r="F20" s="156"/>
      <c r="G20" s="156">
        <v>89010000</v>
      </c>
      <c r="H20" s="157">
        <v>3843000</v>
      </c>
      <c r="I20" s="158">
        <f>SUM(B20:H20)</f>
        <v>163643000</v>
      </c>
      <c r="J20" s="114"/>
      <c r="K20" s="32"/>
      <c r="L20" s="137">
        <f>L18/12</f>
        <v>12697384.403333334</v>
      </c>
    </row>
    <row r="21" spans="1:13" ht="46.5" customHeight="1" x14ac:dyDescent="0.2">
      <c r="A21" s="115" t="s">
        <v>76</v>
      </c>
      <c r="B21" s="156">
        <v>26090000</v>
      </c>
      <c r="C21" s="156">
        <v>2110000</v>
      </c>
      <c r="D21" s="156">
        <v>5720000</v>
      </c>
      <c r="E21" s="156">
        <v>36870000</v>
      </c>
      <c r="F21" s="156">
        <v>688000</v>
      </c>
      <c r="G21" s="156">
        <v>89010000</v>
      </c>
      <c r="H21" s="157">
        <v>3843000</v>
      </c>
      <c r="I21" s="158">
        <f>SUM(B21:H21)</f>
        <v>164331000</v>
      </c>
      <c r="J21" s="114"/>
      <c r="K21" s="32"/>
      <c r="L21" s="67" t="s">
        <v>66</v>
      </c>
    </row>
    <row r="22" spans="1:13" ht="46.5" hidden="1" customHeight="1" x14ac:dyDescent="0.2">
      <c r="A22" s="115" t="s">
        <v>45</v>
      </c>
      <c r="B22" s="116"/>
      <c r="C22" s="125"/>
      <c r="D22" s="125"/>
      <c r="E22" s="125"/>
      <c r="F22" s="125"/>
      <c r="G22" s="125"/>
      <c r="H22" s="126"/>
      <c r="I22" s="127"/>
      <c r="J22" s="173"/>
      <c r="K22" s="30"/>
      <c r="L22" s="63"/>
    </row>
    <row r="23" spans="1:13" ht="46.5" hidden="1" customHeight="1" x14ac:dyDescent="0.2">
      <c r="A23" s="115" t="s">
        <v>51</v>
      </c>
      <c r="B23" s="116"/>
      <c r="C23" s="125"/>
      <c r="D23" s="125"/>
      <c r="E23" s="125"/>
      <c r="F23" s="125"/>
      <c r="G23" s="125"/>
      <c r="H23" s="126"/>
      <c r="I23" s="127"/>
      <c r="J23" s="173"/>
      <c r="K23" s="30"/>
      <c r="L23" s="63"/>
    </row>
    <row r="24" spans="1:13" ht="46.5" customHeight="1" x14ac:dyDescent="0.2">
      <c r="A24" s="34" t="s">
        <v>22</v>
      </c>
      <c r="B24" s="53">
        <f>B18/B20</f>
        <v>1.0333283698735147</v>
      </c>
      <c r="C24" s="53">
        <f t="shared" ref="C24:H24" si="2">C18/C20</f>
        <v>1.0443350284360191</v>
      </c>
      <c r="D24" s="53">
        <f t="shared" si="2"/>
        <v>1.111816153846154</v>
      </c>
      <c r="E24" s="53">
        <f t="shared" si="2"/>
        <v>1.2503544724708437</v>
      </c>
      <c r="F24" s="53">
        <f>F12/F21</f>
        <v>0.99970930232558142</v>
      </c>
      <c r="G24" s="53">
        <f t="shared" si="2"/>
        <v>0.93258442815414022</v>
      </c>
      <c r="H24" s="53">
        <f t="shared" si="2"/>
        <v>1.0144016289357274</v>
      </c>
      <c r="I24" s="53">
        <f>I18/I20</f>
        <v>1.0340725071649872</v>
      </c>
      <c r="J24" s="174"/>
      <c r="K24" s="32"/>
      <c r="L24" s="30"/>
    </row>
    <row r="25" spans="1:13" ht="12" customHeight="1" x14ac:dyDescent="0.2">
      <c r="A25" s="29"/>
      <c r="B25" s="30"/>
      <c r="C25" s="30"/>
      <c r="D25" s="30"/>
      <c r="E25" s="30"/>
      <c r="F25" s="96"/>
      <c r="G25" s="30"/>
      <c r="H25" s="30"/>
      <c r="I25" s="30"/>
      <c r="J25" s="114"/>
      <c r="K25" s="32"/>
      <c r="L25" s="30"/>
    </row>
    <row r="26" spans="1:13" ht="31.5" customHeight="1" x14ac:dyDescent="0.2">
      <c r="A26" s="128" t="s">
        <v>74</v>
      </c>
      <c r="B26" s="129">
        <v>23421762.850000001</v>
      </c>
      <c r="C26" s="129">
        <v>2090838.65</v>
      </c>
      <c r="D26" s="129">
        <v>4647765.87</v>
      </c>
      <c r="E26" s="129">
        <v>35142805.340000004</v>
      </c>
      <c r="F26" s="129">
        <v>3385040</v>
      </c>
      <c r="G26" s="129">
        <v>79831787.930000007</v>
      </c>
      <c r="H26" s="138">
        <v>3848612.2</v>
      </c>
      <c r="I26" s="139">
        <f>SUM(B26:H26)</f>
        <v>152368612.84</v>
      </c>
    </row>
    <row r="27" spans="1:13" ht="18" customHeight="1" x14ac:dyDescent="0.2">
      <c r="A27" s="36"/>
      <c r="B27" s="37"/>
      <c r="C27" s="37"/>
      <c r="D27" s="37"/>
      <c r="E27" s="37"/>
      <c r="F27" s="37"/>
      <c r="G27" s="37"/>
      <c r="H27" s="37"/>
      <c r="I27" s="30"/>
    </row>
    <row r="28" spans="1:13" ht="17.100000000000001" customHeight="1" x14ac:dyDescent="0.2">
      <c r="A28" s="38"/>
      <c r="B28" s="114"/>
      <c r="C28" s="37"/>
      <c r="D28" s="39"/>
      <c r="E28" s="39"/>
      <c r="F28" s="39"/>
      <c r="G28" s="40"/>
    </row>
    <row r="29" spans="1:13" ht="12" customHeight="1" x14ac:dyDescent="0.2">
      <c r="A29" s="175"/>
      <c r="B29" s="42" t="s">
        <v>26</v>
      </c>
      <c r="C29" s="43"/>
      <c r="D29" s="43"/>
      <c r="E29" s="37"/>
      <c r="F29" s="39"/>
      <c r="G29" s="40"/>
      <c r="I29" s="106" t="s">
        <v>77</v>
      </c>
    </row>
    <row r="30" spans="1:13" ht="45" customHeight="1" x14ac:dyDescent="0.2">
      <c r="B30" s="147" t="s">
        <v>24</v>
      </c>
      <c r="C30" s="57" t="s">
        <v>35</v>
      </c>
      <c r="D30" s="56" t="s">
        <v>20</v>
      </c>
      <c r="E30" s="45"/>
      <c r="F30" s="39"/>
      <c r="I30" s="105"/>
      <c r="J30" s="7" t="s">
        <v>78</v>
      </c>
      <c r="K30" s="123" t="s">
        <v>67</v>
      </c>
      <c r="L30" s="123" t="s">
        <v>54</v>
      </c>
      <c r="M30" s="123" t="s">
        <v>46</v>
      </c>
    </row>
    <row r="31" spans="1:13" ht="21.95" customHeight="1" x14ac:dyDescent="0.2">
      <c r="A31" s="170" t="s">
        <v>27</v>
      </c>
      <c r="B31" s="87">
        <f>$C$44*1</f>
        <v>13636916.666666666</v>
      </c>
      <c r="C31" s="176">
        <v>11371699.73</v>
      </c>
      <c r="D31" s="46">
        <f t="shared" ref="D31:D42" si="3">C31-B31</f>
        <v>-2265216.9366666656</v>
      </c>
      <c r="E31" s="63" t="s">
        <v>30</v>
      </c>
      <c r="F31" s="44"/>
      <c r="I31" s="103" t="s">
        <v>0</v>
      </c>
      <c r="J31" s="11">
        <v>1211</v>
      </c>
      <c r="K31" s="101">
        <v>1211</v>
      </c>
      <c r="L31" s="101">
        <v>1211</v>
      </c>
      <c r="M31" s="101">
        <v>1211</v>
      </c>
    </row>
    <row r="32" spans="1:13" ht="15.75" customHeight="1" x14ac:dyDescent="0.2">
      <c r="A32" s="170" t="s">
        <v>5</v>
      </c>
      <c r="B32" s="87">
        <f>$C$44*2</f>
        <v>27273833.333333332</v>
      </c>
      <c r="C32" s="88">
        <v>22790446.620000001</v>
      </c>
      <c r="D32" s="46">
        <f t="shared" si="3"/>
        <v>-4483386.713333331</v>
      </c>
      <c r="E32" s="63" t="s">
        <v>30</v>
      </c>
      <c r="F32" s="44"/>
      <c r="I32" s="104" t="s">
        <v>4</v>
      </c>
      <c r="J32" s="110">
        <v>7310044.29</v>
      </c>
      <c r="K32" s="177">
        <v>6244942.2400000002</v>
      </c>
      <c r="L32" s="177">
        <v>5255762.3</v>
      </c>
      <c r="M32" s="177">
        <v>5252142.5</v>
      </c>
    </row>
    <row r="33" spans="1:13" ht="15.75" customHeight="1" x14ac:dyDescent="0.2">
      <c r="A33" s="170" t="s">
        <v>6</v>
      </c>
      <c r="B33" s="87">
        <f>$C$44*3</f>
        <v>40910750</v>
      </c>
      <c r="C33" s="88">
        <v>36471622.869999997</v>
      </c>
      <c r="D33" s="46">
        <f t="shared" si="3"/>
        <v>-4439127.1300000027</v>
      </c>
      <c r="E33" s="63" t="s">
        <v>30</v>
      </c>
      <c r="F33" s="44"/>
      <c r="I33" s="104" t="s">
        <v>5</v>
      </c>
      <c r="J33" s="87">
        <v>8123262.3099999996</v>
      </c>
      <c r="K33" s="178">
        <v>7665699.6299999999</v>
      </c>
      <c r="L33" s="178">
        <v>6870715.8200000003</v>
      </c>
      <c r="M33" s="178">
        <v>6469795.5300000003</v>
      </c>
    </row>
    <row r="34" spans="1:13" ht="15.75" customHeight="1" x14ac:dyDescent="0.2">
      <c r="A34" s="170" t="s">
        <v>7</v>
      </c>
      <c r="B34" s="87">
        <f>$C$44*4</f>
        <v>54547666.666666664</v>
      </c>
      <c r="C34" s="88">
        <v>45362045.109999999</v>
      </c>
      <c r="D34" s="46">
        <f t="shared" si="3"/>
        <v>-9185621.5566666648</v>
      </c>
      <c r="E34" s="63" t="s">
        <v>30</v>
      </c>
      <c r="F34" s="44"/>
      <c r="I34" s="104" t="s">
        <v>6</v>
      </c>
      <c r="J34" s="87">
        <v>4811335.6399999997</v>
      </c>
      <c r="K34" s="178">
        <v>3537018.85</v>
      </c>
      <c r="L34" s="178">
        <v>2671503.0099999998</v>
      </c>
      <c r="M34" s="178">
        <v>3369082.48</v>
      </c>
    </row>
    <row r="35" spans="1:13" ht="15.75" customHeight="1" x14ac:dyDescent="0.2">
      <c r="A35" s="179" t="s">
        <v>8</v>
      </c>
      <c r="B35" s="87">
        <f>$C$44*5</f>
        <v>68184583.333333328</v>
      </c>
      <c r="C35" s="71">
        <v>57571927.549999997</v>
      </c>
      <c r="D35" s="46">
        <f t="shared" si="3"/>
        <v>-10612655.783333331</v>
      </c>
      <c r="E35" s="63" t="s">
        <v>30</v>
      </c>
      <c r="F35" s="44"/>
      <c r="I35" s="104" t="s">
        <v>7</v>
      </c>
      <c r="J35" s="87">
        <v>5358931.93</v>
      </c>
      <c r="K35" s="178">
        <v>5460752.2599999998</v>
      </c>
      <c r="L35" s="178">
        <v>4053519.95</v>
      </c>
      <c r="M35" s="178">
        <v>3372276.48</v>
      </c>
    </row>
    <row r="36" spans="1:13" ht="15.75" customHeight="1" x14ac:dyDescent="0.2">
      <c r="A36" s="170" t="s">
        <v>9</v>
      </c>
      <c r="B36" s="87">
        <f>$C$44*6</f>
        <v>81821500</v>
      </c>
      <c r="C36" s="71">
        <v>75650585.560000002</v>
      </c>
      <c r="D36" s="24">
        <f t="shared" si="3"/>
        <v>-6170914.4399999976</v>
      </c>
      <c r="E36" s="63" t="s">
        <v>30</v>
      </c>
      <c r="F36" s="39"/>
      <c r="I36" s="104" t="s">
        <v>8</v>
      </c>
      <c r="J36" s="87">
        <v>8865657.4399999995</v>
      </c>
      <c r="K36" s="178">
        <v>8388824.7799999993</v>
      </c>
      <c r="L36" s="178">
        <v>6733585.4199999999</v>
      </c>
      <c r="M36" s="178">
        <v>4859277.78</v>
      </c>
    </row>
    <row r="37" spans="1:13" ht="15.75" customHeight="1" x14ac:dyDescent="0.2">
      <c r="A37" s="170" t="s">
        <v>10</v>
      </c>
      <c r="B37" s="87">
        <f>$C$44*7</f>
        <v>95458416.666666657</v>
      </c>
      <c r="C37" s="180">
        <v>101394716.09</v>
      </c>
      <c r="D37" s="24">
        <f t="shared" si="3"/>
        <v>5936299.4233333468</v>
      </c>
      <c r="E37" s="63" t="s">
        <v>40</v>
      </c>
      <c r="F37" s="44"/>
      <c r="I37" s="104" t="s">
        <v>9</v>
      </c>
      <c r="J37" s="87">
        <v>5657616</v>
      </c>
      <c r="K37" s="178">
        <v>5488121.7800000003</v>
      </c>
      <c r="L37" s="178">
        <v>4811765.8</v>
      </c>
      <c r="M37" s="178">
        <v>3191430.85</v>
      </c>
    </row>
    <row r="38" spans="1:13" ht="15.75" customHeight="1" x14ac:dyDescent="0.2">
      <c r="A38" s="170" t="s">
        <v>11</v>
      </c>
      <c r="B38" s="87">
        <f>$C$44*8</f>
        <v>109095333.33333333</v>
      </c>
      <c r="C38" s="71">
        <v>113643000</v>
      </c>
      <c r="D38" s="46">
        <f t="shared" si="3"/>
        <v>4547666.6666666716</v>
      </c>
      <c r="E38" s="63" t="s">
        <v>40</v>
      </c>
      <c r="F38" s="44"/>
      <c r="I38" s="104" t="s">
        <v>10</v>
      </c>
      <c r="J38" s="181">
        <v>7208286.29</v>
      </c>
      <c r="K38" s="182">
        <v>7158675.4400000004</v>
      </c>
      <c r="L38" s="182">
        <v>5796931.3499999996</v>
      </c>
      <c r="M38" s="178">
        <v>4564190.4400000004</v>
      </c>
    </row>
    <row r="39" spans="1:13" ht="15.75" customHeight="1" x14ac:dyDescent="0.2">
      <c r="A39" s="170" t="s">
        <v>12</v>
      </c>
      <c r="B39" s="87">
        <f>$C$44*9</f>
        <v>122732250</v>
      </c>
      <c r="C39" s="71">
        <v>126155122.08</v>
      </c>
      <c r="D39" s="46">
        <f t="shared" si="3"/>
        <v>3422872.0799999982</v>
      </c>
      <c r="E39" s="63" t="s">
        <v>40</v>
      </c>
      <c r="F39" s="44"/>
      <c r="I39" s="104" t="s">
        <v>11</v>
      </c>
      <c r="J39" s="87">
        <v>8529809.9900000002</v>
      </c>
      <c r="K39" s="178">
        <v>8052979.3700000001</v>
      </c>
      <c r="L39" s="178">
        <v>7294324.4900000002</v>
      </c>
      <c r="M39" s="178">
        <v>6249409.1500000004</v>
      </c>
    </row>
    <row r="40" spans="1:13" ht="15.75" customHeight="1" x14ac:dyDescent="0.2">
      <c r="A40" s="170" t="s">
        <v>13</v>
      </c>
      <c r="B40" s="87">
        <f>$C$45*10</f>
        <v>136942500</v>
      </c>
      <c r="C40" s="71">
        <v>136219097.97</v>
      </c>
      <c r="D40" s="46">
        <f t="shared" si="3"/>
        <v>-723402.03000000119</v>
      </c>
      <c r="E40" s="63" t="s">
        <v>30</v>
      </c>
      <c r="F40" s="44"/>
      <c r="I40" s="104" t="s">
        <v>12</v>
      </c>
      <c r="J40" s="87">
        <v>4727185.7300000004</v>
      </c>
      <c r="K40" s="178">
        <v>5479097.7000000002</v>
      </c>
      <c r="L40" s="178">
        <v>4526669.63</v>
      </c>
      <c r="M40" s="178">
        <v>4552347.4800000004</v>
      </c>
    </row>
    <row r="41" spans="1:13" ht="15.75" customHeight="1" x14ac:dyDescent="0.2">
      <c r="A41" s="170" t="s">
        <v>23</v>
      </c>
      <c r="B41" s="87">
        <f>$C$45*11</f>
        <v>150636750</v>
      </c>
      <c r="C41" s="71">
        <v>148986884.56</v>
      </c>
      <c r="D41" s="46">
        <f t="shared" si="3"/>
        <v>-1649865.4399999976</v>
      </c>
      <c r="E41" s="63" t="s">
        <v>30</v>
      </c>
      <c r="F41" s="44"/>
      <c r="I41" s="104" t="s">
        <v>13</v>
      </c>
      <c r="J41" s="87">
        <v>5796086.8399999999</v>
      </c>
      <c r="K41" s="178">
        <v>6540916.7699999996</v>
      </c>
      <c r="L41" s="178">
        <v>5564919.0700000003</v>
      </c>
      <c r="M41" s="178">
        <v>4626008.59</v>
      </c>
    </row>
    <row r="42" spans="1:13" ht="15.75" customHeight="1" x14ac:dyDescent="0.2">
      <c r="A42" s="170" t="s">
        <v>15</v>
      </c>
      <c r="B42" s="87">
        <f>$C$45*12</f>
        <v>164331000</v>
      </c>
      <c r="C42" s="71">
        <v>169218727.28999999</v>
      </c>
      <c r="D42" s="46">
        <f t="shared" si="3"/>
        <v>4887727.2899999917</v>
      </c>
      <c r="E42" s="63" t="s">
        <v>40</v>
      </c>
      <c r="F42" s="44"/>
      <c r="I42" s="104" t="s">
        <v>14</v>
      </c>
      <c r="J42" s="87">
        <v>8358407.2300000004</v>
      </c>
      <c r="K42" s="178">
        <v>9474035.6799999997</v>
      </c>
      <c r="L42" s="178">
        <v>7698895.7300000004</v>
      </c>
      <c r="M42" s="178">
        <v>6621002.2300000004</v>
      </c>
    </row>
    <row r="43" spans="1:13" ht="15.75" customHeight="1" x14ac:dyDescent="0.2">
      <c r="A43" s="245" t="s">
        <v>25</v>
      </c>
      <c r="B43" s="245"/>
      <c r="C43" s="160">
        <v>163643000</v>
      </c>
      <c r="D43" s="183"/>
      <c r="E43" s="183"/>
      <c r="F43" s="44"/>
      <c r="I43" s="104" t="s">
        <v>15</v>
      </c>
      <c r="J43" s="87">
        <v>8272716.2599999998</v>
      </c>
      <c r="K43" s="178">
        <v>6340723.4299999997</v>
      </c>
      <c r="L43" s="178">
        <v>6843575.6200000001</v>
      </c>
      <c r="M43" s="178">
        <v>5248774.17</v>
      </c>
    </row>
    <row r="44" spans="1:13" ht="35.25" hidden="1" customHeight="1" x14ac:dyDescent="0.2">
      <c r="A44" s="235" t="s">
        <v>37</v>
      </c>
      <c r="B44" s="235"/>
      <c r="C44" s="194">
        <f>C43/12</f>
        <v>13636916.666666666</v>
      </c>
      <c r="D44" s="183"/>
      <c r="E44" s="183"/>
      <c r="F44" s="44"/>
      <c r="I44" s="76" t="s">
        <v>44</v>
      </c>
      <c r="J44" s="26">
        <f t="shared" ref="J44" si="4">SUM(J32:J43)</f>
        <v>83019339.950000018</v>
      </c>
      <c r="K44" s="99">
        <f>SUM(K32:K43)</f>
        <v>79831787.930000007</v>
      </c>
      <c r="L44" s="99">
        <f>SUM(L32:L43)</f>
        <v>68122168.190000013</v>
      </c>
      <c r="M44" s="99">
        <f>SUM(M32:M43)</f>
        <v>58375737.680000022</v>
      </c>
    </row>
    <row r="45" spans="1:13" ht="35.25" customHeight="1" x14ac:dyDescent="0.2">
      <c r="A45" s="235" t="s">
        <v>64</v>
      </c>
      <c r="B45" s="235"/>
      <c r="C45" s="160">
        <f>I21/12</f>
        <v>13694250</v>
      </c>
      <c r="D45" s="120"/>
      <c r="E45" s="183"/>
      <c r="F45" s="44"/>
      <c r="I45" s="121"/>
      <c r="J45" s="60"/>
      <c r="K45" s="60"/>
      <c r="L45" s="60"/>
    </row>
    <row r="46" spans="1:13" ht="24" customHeight="1" x14ac:dyDescent="0.2">
      <c r="A46" s="62" t="s">
        <v>36</v>
      </c>
      <c r="B46" s="161"/>
      <c r="C46" s="72"/>
      <c r="D46" s="120"/>
      <c r="E46" s="183"/>
      <c r="F46" s="44"/>
      <c r="I46" s="121"/>
      <c r="J46" s="60"/>
      <c r="K46" s="60"/>
      <c r="L46" s="60"/>
    </row>
    <row r="47" spans="1:13" x14ac:dyDescent="0.2">
      <c r="A47" s="36"/>
      <c r="B47" s="37"/>
      <c r="C47" s="37"/>
      <c r="D47" s="37"/>
      <c r="E47" s="37"/>
      <c r="F47" s="37"/>
      <c r="G47" s="37"/>
      <c r="H47" s="37"/>
      <c r="I47" s="30"/>
      <c r="K47" s="30"/>
    </row>
    <row r="48" spans="1:13" ht="15.75" x14ac:dyDescent="0.2">
      <c r="A48" s="1" t="s">
        <v>79</v>
      </c>
      <c r="B48" s="114"/>
      <c r="D48" s="48"/>
      <c r="E48" s="47"/>
      <c r="F48" s="47"/>
      <c r="G48" s="47"/>
      <c r="H48" s="47"/>
      <c r="I48" s="47"/>
      <c r="J48" s="47"/>
      <c r="K48" s="47"/>
    </row>
    <row r="49" spans="1:11" ht="15.75" x14ac:dyDescent="0.2">
      <c r="A49" s="1"/>
      <c r="B49" s="114"/>
      <c r="D49" s="48"/>
      <c r="E49" s="47"/>
      <c r="F49" s="47"/>
      <c r="G49" s="47"/>
      <c r="H49" s="47"/>
      <c r="I49" s="47"/>
      <c r="J49" s="47"/>
      <c r="K49" s="47"/>
    </row>
    <row r="50" spans="1:11" x14ac:dyDescent="0.2">
      <c r="A50" s="70" t="s">
        <v>17</v>
      </c>
      <c r="B50" s="246" t="s">
        <v>80</v>
      </c>
      <c r="C50" s="246"/>
      <c r="D50" s="246"/>
      <c r="E50" s="246"/>
      <c r="F50" s="246"/>
      <c r="G50" s="98"/>
      <c r="H50" s="97"/>
    </row>
    <row r="51" spans="1:11" ht="38.25" customHeight="1" x14ac:dyDescent="0.2">
      <c r="A51" s="5" t="s">
        <v>18</v>
      </c>
      <c r="B51" s="49" t="s">
        <v>41</v>
      </c>
      <c r="C51" s="8" t="s">
        <v>38</v>
      </c>
      <c r="D51" s="233" t="s">
        <v>39</v>
      </c>
      <c r="E51" s="247" t="s">
        <v>42</v>
      </c>
      <c r="F51" s="241" t="s">
        <v>21</v>
      </c>
      <c r="G51" s="236" t="s">
        <v>74</v>
      </c>
      <c r="H51" s="243" t="s">
        <v>75</v>
      </c>
    </row>
    <row r="52" spans="1:11" ht="15" customHeight="1" x14ac:dyDescent="0.2">
      <c r="A52" s="9" t="s">
        <v>0</v>
      </c>
      <c r="B52" s="73">
        <v>1381</v>
      </c>
      <c r="C52" s="141" t="s">
        <v>81</v>
      </c>
      <c r="D52" s="234"/>
      <c r="E52" s="248"/>
      <c r="F52" s="242"/>
      <c r="G52" s="237"/>
      <c r="H52" s="244"/>
    </row>
    <row r="53" spans="1:11" ht="14.1" customHeight="1" x14ac:dyDescent="0.2">
      <c r="A53" s="49" t="s">
        <v>4</v>
      </c>
      <c r="B53" s="185">
        <v>1191.77</v>
      </c>
      <c r="C53" s="85"/>
      <c r="D53" s="82">
        <f>SUM(B53:C53)</f>
        <v>1191.77</v>
      </c>
      <c r="E53" s="86">
        <f>D53</f>
        <v>1191.77</v>
      </c>
      <c r="F53" s="151">
        <f>E53/1</f>
        <v>1191.77</v>
      </c>
      <c r="G53" s="186">
        <v>2716.08</v>
      </c>
      <c r="H53" s="110">
        <f>SUM(G53)</f>
        <v>2716.08</v>
      </c>
    </row>
    <row r="54" spans="1:11" ht="14.1" customHeight="1" x14ac:dyDescent="0.2">
      <c r="A54" s="49" t="s">
        <v>5</v>
      </c>
      <c r="B54" s="122">
        <v>332214.58</v>
      </c>
      <c r="C54" s="85"/>
      <c r="D54" s="82">
        <f t="shared" ref="D54:D65" si="5">SUM(B54:C54)</f>
        <v>332214.58</v>
      </c>
      <c r="E54" s="86">
        <f>SUM($D$53:D54)</f>
        <v>333406.35000000003</v>
      </c>
      <c r="F54" s="144">
        <f>E54/2</f>
        <v>166703.17500000002</v>
      </c>
      <c r="G54" s="131">
        <v>301619.96999999997</v>
      </c>
      <c r="H54" s="87">
        <f>SUM(G53:G54)</f>
        <v>304336.05</v>
      </c>
    </row>
    <row r="55" spans="1:11" ht="14.1" customHeight="1" x14ac:dyDescent="0.2">
      <c r="A55" s="49" t="s">
        <v>6</v>
      </c>
      <c r="B55" s="122">
        <v>1771.36</v>
      </c>
      <c r="C55" s="85"/>
      <c r="D55" s="82">
        <f t="shared" si="5"/>
        <v>1771.36</v>
      </c>
      <c r="E55" s="86">
        <f>SUM($D$53:D55)</f>
        <v>335177.71000000002</v>
      </c>
      <c r="F55" s="144">
        <f>E55/3</f>
        <v>111725.90333333334</v>
      </c>
      <c r="G55" s="131">
        <v>1294.0899999999999</v>
      </c>
      <c r="H55" s="87">
        <f>SUM(G53:G55)</f>
        <v>305630.14</v>
      </c>
    </row>
    <row r="56" spans="1:11" ht="14.1" customHeight="1" x14ac:dyDescent="0.2">
      <c r="A56" s="49" t="s">
        <v>7</v>
      </c>
      <c r="B56" s="122">
        <v>0</v>
      </c>
      <c r="C56" s="85"/>
      <c r="D56" s="82">
        <f t="shared" si="5"/>
        <v>0</v>
      </c>
      <c r="E56" s="86">
        <f>SUM($D$53:D56)</f>
        <v>335177.71000000002</v>
      </c>
      <c r="F56" s="144">
        <f>E56/4</f>
        <v>83794.427500000005</v>
      </c>
      <c r="G56" s="131">
        <v>1087.93</v>
      </c>
      <c r="H56" s="87">
        <f>SUM(G53:G56)</f>
        <v>306718.07</v>
      </c>
    </row>
    <row r="57" spans="1:11" ht="14.1" customHeight="1" x14ac:dyDescent="0.2">
      <c r="A57" s="49" t="s">
        <v>8</v>
      </c>
      <c r="B57" s="122">
        <v>292225.73</v>
      </c>
      <c r="C57" s="85"/>
      <c r="D57" s="82">
        <f t="shared" si="5"/>
        <v>292225.73</v>
      </c>
      <c r="E57" s="86">
        <f>SUM($D$53:D57)</f>
        <v>627403.43999999994</v>
      </c>
      <c r="F57" s="144">
        <f>E57/5</f>
        <v>125480.68799999999</v>
      </c>
      <c r="G57" s="131">
        <v>278875.81</v>
      </c>
      <c r="H57" s="87">
        <f>SUM(G53:G57)</f>
        <v>585593.88</v>
      </c>
    </row>
    <row r="58" spans="1:11" ht="14.1" customHeight="1" x14ac:dyDescent="0.2">
      <c r="A58" s="49" t="s">
        <v>9</v>
      </c>
      <c r="B58" s="122">
        <v>2071.2600000000002</v>
      </c>
      <c r="C58" s="85"/>
      <c r="D58" s="82">
        <f>SUM(B58:C58)</f>
        <v>2071.2600000000002</v>
      </c>
      <c r="E58" s="86">
        <f>SUM($D$53:D58)</f>
        <v>629474.69999999995</v>
      </c>
      <c r="F58" s="144">
        <f>E58/6</f>
        <v>104912.45</v>
      </c>
      <c r="G58" s="131">
        <v>0</v>
      </c>
      <c r="H58" s="155">
        <f>SUM(G53:G58)</f>
        <v>585593.88</v>
      </c>
    </row>
    <row r="59" spans="1:11" ht="14.1" customHeight="1" x14ac:dyDescent="0.2">
      <c r="A59" s="49" t="s">
        <v>10</v>
      </c>
      <c r="B59" s="122">
        <v>522.08000000000004</v>
      </c>
      <c r="C59" s="85"/>
      <c r="D59" s="82">
        <f t="shared" si="5"/>
        <v>522.08000000000004</v>
      </c>
      <c r="E59" s="86">
        <f>SUM($D$53:D59)</f>
        <v>629996.77999999991</v>
      </c>
      <c r="F59" s="144">
        <f>E59/7</f>
        <v>89999.54</v>
      </c>
      <c r="G59" s="131">
        <v>770.62</v>
      </c>
      <c r="H59" s="155">
        <f>SUM(G53:G59)</f>
        <v>586364.5</v>
      </c>
    </row>
    <row r="60" spans="1:11" ht="14.1" customHeight="1" x14ac:dyDescent="0.2">
      <c r="A60" s="49" t="s">
        <v>11</v>
      </c>
      <c r="B60" s="122">
        <v>293646.36</v>
      </c>
      <c r="C60" s="85"/>
      <c r="D60" s="82">
        <f t="shared" si="5"/>
        <v>293646.36</v>
      </c>
      <c r="E60" s="197">
        <f>SUM($D$53:D60)</f>
        <v>923643.1399999999</v>
      </c>
      <c r="F60" s="144">
        <f>E60/8</f>
        <v>115455.39249999999</v>
      </c>
      <c r="G60" s="131">
        <v>263312.01</v>
      </c>
      <c r="H60" s="155">
        <f>SUM(G53:G60)</f>
        <v>849676.51</v>
      </c>
    </row>
    <row r="61" spans="1:11" ht="14.1" customHeight="1" x14ac:dyDescent="0.2">
      <c r="A61" s="49" t="s">
        <v>12</v>
      </c>
      <c r="B61" s="122">
        <v>0</v>
      </c>
      <c r="C61" s="85"/>
      <c r="D61" s="82">
        <f t="shared" si="5"/>
        <v>0</v>
      </c>
      <c r="E61" s="86">
        <f>SUM($D$53:D61)</f>
        <v>923643.1399999999</v>
      </c>
      <c r="F61" s="144">
        <f>E61/9</f>
        <v>102627.01555555554</v>
      </c>
      <c r="G61" s="131">
        <v>9818.4599999999991</v>
      </c>
      <c r="H61" s="155">
        <f>SUM(G53:G61)</f>
        <v>859494.97</v>
      </c>
    </row>
    <row r="62" spans="1:11" ht="14.1" customHeight="1" x14ac:dyDescent="0.2">
      <c r="A62" s="49" t="s">
        <v>13</v>
      </c>
      <c r="B62" s="122">
        <v>0</v>
      </c>
      <c r="C62" s="85"/>
      <c r="D62" s="82">
        <f t="shared" si="5"/>
        <v>0</v>
      </c>
      <c r="E62" s="86">
        <f>SUM($D$53:D62)</f>
        <v>923643.1399999999</v>
      </c>
      <c r="F62" s="144">
        <f>E62/10</f>
        <v>92364.313999999984</v>
      </c>
      <c r="G62" s="131">
        <v>1316.17</v>
      </c>
      <c r="H62" s="155">
        <f>SUM(G53:G62)</f>
        <v>860811.14</v>
      </c>
    </row>
    <row r="63" spans="1:11" ht="14.1" customHeight="1" x14ac:dyDescent="0.2">
      <c r="A63" s="49" t="s">
        <v>14</v>
      </c>
      <c r="B63" s="122">
        <v>251141.04</v>
      </c>
      <c r="C63" s="85"/>
      <c r="D63" s="82">
        <f t="shared" si="5"/>
        <v>251141.04</v>
      </c>
      <c r="E63" s="124">
        <f>SUM($D$53:D63)</f>
        <v>1174784.18</v>
      </c>
      <c r="F63" s="144">
        <f>E63/11</f>
        <v>106798.56181818181</v>
      </c>
      <c r="G63" s="131">
        <v>268497.13</v>
      </c>
      <c r="H63" s="87">
        <f>SUM(G53:G63)</f>
        <v>1129308.27</v>
      </c>
    </row>
    <row r="64" spans="1:11" ht="14.1" customHeight="1" x14ac:dyDescent="0.2">
      <c r="A64" s="49" t="s">
        <v>15</v>
      </c>
      <c r="B64" s="187">
        <v>1967.9</v>
      </c>
      <c r="C64" s="188">
        <v>252.8</v>
      </c>
      <c r="D64" s="196">
        <f t="shared" si="5"/>
        <v>2220.7000000000003</v>
      </c>
      <c r="E64" s="124">
        <f>SUM($D$53:D64)</f>
        <v>1177004.8799999999</v>
      </c>
      <c r="F64" s="145">
        <f>E64/12</f>
        <v>98083.739999999991</v>
      </c>
      <c r="G64" s="131">
        <v>870.54</v>
      </c>
      <c r="H64" s="24">
        <f>SUM(G53:G64)</f>
        <v>1130178.81</v>
      </c>
    </row>
    <row r="65" spans="1:12" ht="45" customHeight="1" x14ac:dyDescent="0.2">
      <c r="A65" s="76" t="s">
        <v>28</v>
      </c>
      <c r="B65" s="26">
        <f>SUM(B53:B64)</f>
        <v>1176752.0799999998</v>
      </c>
      <c r="C65" s="84">
        <f>SUM(C53:C64)</f>
        <v>252.8</v>
      </c>
      <c r="D65" s="195">
        <f t="shared" si="5"/>
        <v>1177004.8799999999</v>
      </c>
      <c r="E65" s="80"/>
      <c r="F65" s="79"/>
      <c r="G65" s="133">
        <f>SUM(G53:G64)</f>
        <v>1130178.81</v>
      </c>
    </row>
    <row r="66" spans="1:12" ht="12.95" customHeight="1" x14ac:dyDescent="0.2">
      <c r="A66" s="61"/>
      <c r="B66" s="60"/>
      <c r="F66" s="50"/>
      <c r="G66" s="24"/>
    </row>
    <row r="67" spans="1:12" ht="33" customHeight="1" x14ac:dyDescent="0.2">
      <c r="A67" s="59" t="s">
        <v>68</v>
      </c>
      <c r="B67" s="162">
        <v>700000</v>
      </c>
      <c r="C67" s="162">
        <v>0</v>
      </c>
      <c r="D67" s="143">
        <f>SUM(B67:C67)</f>
        <v>700000</v>
      </c>
      <c r="F67" s="29"/>
      <c r="G67" s="134">
        <f>G65/12</f>
        <v>94181.567500000005</v>
      </c>
    </row>
    <row r="68" spans="1:12" ht="33" hidden="1" customHeight="1" x14ac:dyDescent="0.2">
      <c r="A68" s="117" t="s">
        <v>69</v>
      </c>
      <c r="B68" s="162"/>
      <c r="C68" s="162"/>
      <c r="D68" s="143">
        <f>SUM(B68:C68)</f>
        <v>0</v>
      </c>
      <c r="F68" s="29"/>
      <c r="G68" s="67" t="s">
        <v>66</v>
      </c>
    </row>
    <row r="69" spans="1:12" ht="33" hidden="1" customHeight="1" x14ac:dyDescent="0.2">
      <c r="A69" s="117" t="s">
        <v>49</v>
      </c>
      <c r="B69" s="152"/>
      <c r="C69" s="153"/>
      <c r="D69" s="118">
        <f>SUM(B69:C69)</f>
        <v>0</v>
      </c>
      <c r="F69" s="29"/>
      <c r="G69" s="67"/>
    </row>
    <row r="70" spans="1:12" ht="33" hidden="1" customHeight="1" x14ac:dyDescent="0.2">
      <c r="A70" s="115" t="s">
        <v>51</v>
      </c>
      <c r="B70" s="148"/>
      <c r="C70" s="149"/>
      <c r="D70" s="118">
        <f>SUM(B70:C70)</f>
        <v>0</v>
      </c>
      <c r="F70" s="29"/>
      <c r="G70" s="67"/>
    </row>
    <row r="71" spans="1:12" s="54" customFormat="1" ht="24" customHeight="1" x14ac:dyDescent="0.2">
      <c r="A71" s="51" t="s">
        <v>22</v>
      </c>
      <c r="B71" s="53">
        <f>B65/B67</f>
        <v>1.6810743999999997</v>
      </c>
      <c r="C71" s="53" t="e">
        <f>C65/C67</f>
        <v>#DIV/0!</v>
      </c>
      <c r="D71" s="154">
        <f>D65/D67</f>
        <v>1.6814355428571428</v>
      </c>
      <c r="E71" s="52"/>
      <c r="F71" s="70"/>
      <c r="H71" s="66"/>
      <c r="K71" s="70"/>
      <c r="L71" s="70"/>
    </row>
    <row r="72" spans="1:12" ht="15.75" customHeight="1" x14ac:dyDescent="0.2">
      <c r="C72" s="190"/>
      <c r="E72" s="164"/>
      <c r="F72" s="66"/>
    </row>
    <row r="73" spans="1:12" ht="24" customHeight="1" x14ac:dyDescent="0.2">
      <c r="A73" s="128" t="s">
        <v>74</v>
      </c>
      <c r="B73" s="129">
        <v>1129308.27</v>
      </c>
      <c r="C73" s="138">
        <v>870.54</v>
      </c>
      <c r="D73" s="146">
        <f>SUM(B73:C73)</f>
        <v>1130178.81</v>
      </c>
      <c r="E73" s="164"/>
      <c r="F73" s="66"/>
    </row>
    <row r="74" spans="1:12" ht="24" customHeight="1" x14ac:dyDescent="0.2">
      <c r="C74" s="190"/>
      <c r="E74" s="164"/>
      <c r="F74" s="66"/>
    </row>
    <row r="75" spans="1:12" ht="19.5" customHeight="1" x14ac:dyDescent="0.2">
      <c r="A75" s="75" t="s">
        <v>26</v>
      </c>
      <c r="B75" s="43"/>
      <c r="C75" s="43"/>
      <c r="D75" s="37"/>
      <c r="G75" s="41"/>
    </row>
    <row r="76" spans="1:12" ht="16.5" customHeight="1" x14ac:dyDescent="0.2">
      <c r="B76" s="56" t="s">
        <v>24</v>
      </c>
      <c r="C76" s="57" t="s">
        <v>35</v>
      </c>
      <c r="D76" s="56" t="s">
        <v>20</v>
      </c>
      <c r="E76" s="45"/>
    </row>
    <row r="77" spans="1:12" ht="17.100000000000001" customHeight="1" x14ac:dyDescent="0.2">
      <c r="A77" s="170" t="s">
        <v>4</v>
      </c>
      <c r="B77" s="181">
        <f>C90*1</f>
        <v>58333.333333333336</v>
      </c>
      <c r="C77" s="176">
        <v>1191.77</v>
      </c>
      <c r="D77" s="46">
        <f t="shared" ref="D77:D88" si="6">C77-B77</f>
        <v>-57141.563333333339</v>
      </c>
      <c r="E77" s="63" t="s">
        <v>30</v>
      </c>
    </row>
    <row r="78" spans="1:12" ht="17.100000000000001" customHeight="1" x14ac:dyDescent="0.2">
      <c r="A78" s="170" t="s">
        <v>5</v>
      </c>
      <c r="B78" s="191">
        <f>$C$90*2</f>
        <v>116666.66666666667</v>
      </c>
      <c r="C78" s="88">
        <v>332214.58</v>
      </c>
      <c r="D78" s="24">
        <f t="shared" si="6"/>
        <v>215547.91333333333</v>
      </c>
      <c r="E78" s="63" t="s">
        <v>40</v>
      </c>
    </row>
    <row r="79" spans="1:12" ht="15.95" customHeight="1" x14ac:dyDescent="0.2">
      <c r="A79" s="170" t="s">
        <v>6</v>
      </c>
      <c r="B79" s="191">
        <f>$C$90*3</f>
        <v>175000</v>
      </c>
      <c r="C79" s="88">
        <v>335177.71000000002</v>
      </c>
      <c r="D79" s="24">
        <f t="shared" si="6"/>
        <v>160177.71000000002</v>
      </c>
      <c r="E79" s="63" t="s">
        <v>40</v>
      </c>
      <c r="F79" s="39"/>
    </row>
    <row r="80" spans="1:12" ht="18" customHeight="1" x14ac:dyDescent="0.2">
      <c r="A80" s="170" t="s">
        <v>7</v>
      </c>
      <c r="B80" s="191">
        <f>$C$90*4</f>
        <v>233333.33333333334</v>
      </c>
      <c r="C80" s="88">
        <v>335177.71000000002</v>
      </c>
      <c r="D80" s="24">
        <f t="shared" si="6"/>
        <v>101844.37666666668</v>
      </c>
      <c r="E80" s="63" t="s">
        <v>40</v>
      </c>
      <c r="F80" s="44"/>
    </row>
    <row r="81" spans="1:6" ht="15.75" customHeight="1" x14ac:dyDescent="0.2">
      <c r="A81" s="170" t="s">
        <v>8</v>
      </c>
      <c r="B81" s="191">
        <f>$C$90*5</f>
        <v>291666.66666666669</v>
      </c>
      <c r="C81" s="71">
        <v>627403.43999999994</v>
      </c>
      <c r="D81" s="24">
        <f t="shared" si="6"/>
        <v>335736.77333333326</v>
      </c>
      <c r="E81" s="63" t="s">
        <v>40</v>
      </c>
      <c r="F81" s="44"/>
    </row>
    <row r="82" spans="1:6" ht="15.75" customHeight="1" x14ac:dyDescent="0.2">
      <c r="A82" s="170" t="s">
        <v>9</v>
      </c>
      <c r="B82" s="191">
        <f>$C$90*6</f>
        <v>350000</v>
      </c>
      <c r="C82" s="71">
        <v>629474.69999999995</v>
      </c>
      <c r="D82" s="24">
        <f t="shared" si="6"/>
        <v>279474.69999999995</v>
      </c>
      <c r="E82" s="63" t="s">
        <v>40</v>
      </c>
      <c r="F82" s="44"/>
    </row>
    <row r="83" spans="1:6" ht="15.75" customHeight="1" x14ac:dyDescent="0.2">
      <c r="A83" s="170" t="s">
        <v>10</v>
      </c>
      <c r="B83" s="191">
        <f>$C$90*7</f>
        <v>408333.33333333337</v>
      </c>
      <c r="C83" s="71">
        <v>629996.78</v>
      </c>
      <c r="D83" s="24">
        <f t="shared" si="6"/>
        <v>221663.44666666666</v>
      </c>
      <c r="E83" s="63" t="s">
        <v>40</v>
      </c>
      <c r="F83" s="44"/>
    </row>
    <row r="84" spans="1:6" ht="15.75" customHeight="1" x14ac:dyDescent="0.2">
      <c r="A84" s="170" t="s">
        <v>11</v>
      </c>
      <c r="B84" s="191">
        <f>$C$90*8</f>
        <v>466666.66666666669</v>
      </c>
      <c r="C84" s="192">
        <v>923643.14</v>
      </c>
      <c r="D84" s="24">
        <f t="shared" si="6"/>
        <v>456976.47333333333</v>
      </c>
      <c r="E84" s="63" t="s">
        <v>40</v>
      </c>
      <c r="F84" s="44"/>
    </row>
    <row r="85" spans="1:6" ht="15.75" customHeight="1" x14ac:dyDescent="0.2">
      <c r="A85" s="170" t="s">
        <v>12</v>
      </c>
      <c r="B85" s="191">
        <f>$C$90*9</f>
        <v>525000</v>
      </c>
      <c r="C85" s="71">
        <v>923643.14</v>
      </c>
      <c r="D85" s="24">
        <f t="shared" si="6"/>
        <v>398643.14</v>
      </c>
      <c r="E85" s="63" t="s">
        <v>40</v>
      </c>
      <c r="F85" s="39"/>
    </row>
    <row r="86" spans="1:6" ht="15.75" customHeight="1" x14ac:dyDescent="0.2">
      <c r="A86" s="170" t="s">
        <v>13</v>
      </c>
      <c r="B86" s="191">
        <f>$C$90*10</f>
        <v>583333.33333333337</v>
      </c>
      <c r="C86" s="71">
        <v>923643.14</v>
      </c>
      <c r="D86" s="24">
        <f t="shared" si="6"/>
        <v>340309.80666666664</v>
      </c>
      <c r="E86" s="63" t="s">
        <v>40</v>
      </c>
      <c r="F86" s="44"/>
    </row>
    <row r="87" spans="1:6" ht="15.75" customHeight="1" x14ac:dyDescent="0.2">
      <c r="A87" s="170" t="s">
        <v>23</v>
      </c>
      <c r="B87" s="191">
        <f>$C$90*11</f>
        <v>641666.66666666674</v>
      </c>
      <c r="C87" s="71">
        <v>1174784.18</v>
      </c>
      <c r="D87" s="24">
        <f t="shared" si="6"/>
        <v>533117.51333333319</v>
      </c>
      <c r="E87" s="63" t="s">
        <v>40</v>
      </c>
      <c r="F87" s="44"/>
    </row>
    <row r="88" spans="1:6" ht="15.75" customHeight="1" x14ac:dyDescent="0.2">
      <c r="A88" s="170" t="s">
        <v>15</v>
      </c>
      <c r="B88" s="191">
        <f>$C$90*12</f>
        <v>700000</v>
      </c>
      <c r="C88" s="71">
        <v>1177004.8799999999</v>
      </c>
      <c r="D88" s="24">
        <f t="shared" si="6"/>
        <v>477004.87999999989</v>
      </c>
      <c r="E88" s="63" t="s">
        <v>40</v>
      </c>
      <c r="F88" s="44"/>
    </row>
    <row r="89" spans="1:6" ht="15.75" customHeight="1" x14ac:dyDescent="0.2">
      <c r="B89" s="163" t="s">
        <v>25</v>
      </c>
      <c r="C89" s="160">
        <v>700000</v>
      </c>
      <c r="D89" s="183"/>
      <c r="E89" s="183"/>
      <c r="F89" s="44"/>
    </row>
    <row r="90" spans="1:6" ht="44.25" customHeight="1" x14ac:dyDescent="0.2">
      <c r="B90" s="119" t="s">
        <v>37</v>
      </c>
      <c r="C90" s="194">
        <f>C89/12</f>
        <v>58333.333333333336</v>
      </c>
      <c r="E90" s="183"/>
      <c r="F90" s="44"/>
    </row>
    <row r="91" spans="1:6" ht="44.25" hidden="1" customHeight="1" x14ac:dyDescent="0.2">
      <c r="A91" s="235" t="s">
        <v>65</v>
      </c>
      <c r="B91" s="235"/>
      <c r="C91" s="194">
        <f>D68/12</f>
        <v>0</v>
      </c>
      <c r="D91" s="120"/>
      <c r="E91" s="183"/>
      <c r="F91" s="44"/>
    </row>
    <row r="92" spans="1:6" ht="44.25" hidden="1" customHeight="1" x14ac:dyDescent="0.2">
      <c r="A92" s="235" t="s">
        <v>50</v>
      </c>
      <c r="B92" s="235"/>
      <c r="C92" s="150">
        <f>D69/12</f>
        <v>0</v>
      </c>
      <c r="D92" s="120"/>
      <c r="E92" s="183"/>
      <c r="F92" s="44"/>
    </row>
    <row r="93" spans="1:6" ht="15.75" customHeight="1" x14ac:dyDescent="0.2">
      <c r="A93" s="62" t="s">
        <v>36</v>
      </c>
      <c r="B93" s="184"/>
      <c r="C93" s="184"/>
      <c r="D93" s="37"/>
      <c r="F93" s="44"/>
    </row>
    <row r="94" spans="1:6" ht="15.75" customHeight="1" x14ac:dyDescent="0.2">
      <c r="F94" s="44"/>
    </row>
    <row r="95" spans="1:6" x14ac:dyDescent="0.2">
      <c r="A95" s="193"/>
      <c r="B95" s="114"/>
      <c r="C95" s="37"/>
    </row>
    <row r="96" spans="1:6" x14ac:dyDescent="0.2">
      <c r="A96" s="193"/>
      <c r="B96" s="114"/>
      <c r="C96" s="37"/>
    </row>
  </sheetData>
  <mergeCells count="17">
    <mergeCell ref="G51:G52"/>
    <mergeCell ref="H51:H52"/>
    <mergeCell ref="A91:B91"/>
    <mergeCell ref="A92:B92"/>
    <mergeCell ref="A43:B43"/>
    <mergeCell ref="A44:B44"/>
    <mergeCell ref="A45:B45"/>
    <mergeCell ref="B50:F50"/>
    <mergeCell ref="D51:D52"/>
    <mergeCell ref="E51:E52"/>
    <mergeCell ref="F51:F52"/>
    <mergeCell ref="M4:M5"/>
    <mergeCell ref="B3:K3"/>
    <mergeCell ref="I4:I5"/>
    <mergeCell ref="J4:J5"/>
    <mergeCell ref="K4:K5"/>
    <mergeCell ref="L4:L5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99"/>
  </sheetPr>
  <dimension ref="A1:M99"/>
  <sheetViews>
    <sheetView workbookViewId="0">
      <selection activeCell="J40" sqref="J40"/>
    </sheetView>
  </sheetViews>
  <sheetFormatPr defaultColWidth="9.140625" defaultRowHeight="12.75" x14ac:dyDescent="0.2"/>
  <cols>
    <col min="1" max="1" width="12.85546875" style="70" customWidth="1"/>
    <col min="2" max="2" width="14.42578125" style="70" customWidth="1"/>
    <col min="3" max="3" width="14.85546875" style="70" customWidth="1"/>
    <col min="4" max="4" width="15.28515625" style="70" customWidth="1"/>
    <col min="5" max="5" width="14.28515625" style="70" customWidth="1"/>
    <col min="6" max="6" width="16.42578125" style="70" customWidth="1"/>
    <col min="7" max="7" width="14.42578125" style="70" customWidth="1"/>
    <col min="8" max="8" width="13.5703125" style="70" customWidth="1"/>
    <col min="9" max="9" width="17" style="70" customWidth="1"/>
    <col min="10" max="10" width="14.5703125" style="70" customWidth="1"/>
    <col min="11" max="11" width="14.140625" style="70" customWidth="1"/>
    <col min="12" max="12" width="15.28515625" style="70" customWidth="1"/>
    <col min="13" max="13" width="14.85546875" style="70" customWidth="1"/>
    <col min="14" max="16384" width="9.140625" style="70"/>
  </cols>
  <sheetData>
    <row r="1" spans="1:13" ht="15.75" x14ac:dyDescent="0.2">
      <c r="A1" s="1" t="s">
        <v>59</v>
      </c>
      <c r="B1" s="2"/>
      <c r="C1" s="2"/>
      <c r="D1" s="2"/>
      <c r="E1" s="2"/>
      <c r="F1" s="2"/>
      <c r="G1" s="2"/>
    </row>
    <row r="2" spans="1:13" x14ac:dyDescent="0.2">
      <c r="A2" s="4"/>
    </row>
    <row r="3" spans="1:13" x14ac:dyDescent="0.2">
      <c r="B3" s="2"/>
      <c r="C3" s="2"/>
      <c r="D3" s="2"/>
      <c r="E3" s="89"/>
      <c r="F3" s="2"/>
      <c r="G3" s="2"/>
      <c r="H3" s="89"/>
    </row>
    <row r="4" spans="1:13" x14ac:dyDescent="0.2">
      <c r="A4" s="70" t="s">
        <v>17</v>
      </c>
      <c r="B4" s="228">
        <v>2022</v>
      </c>
      <c r="C4" s="229"/>
      <c r="D4" s="229"/>
      <c r="E4" s="229"/>
      <c r="F4" s="229"/>
      <c r="G4" s="229"/>
      <c r="H4" s="229"/>
      <c r="I4" s="229"/>
      <c r="J4" s="229"/>
      <c r="K4" s="239"/>
      <c r="L4" s="97"/>
      <c r="M4" s="97"/>
    </row>
    <row r="5" spans="1:13" ht="38.25" customHeight="1" x14ac:dyDescent="0.2">
      <c r="A5" s="5" t="s">
        <v>19</v>
      </c>
      <c r="B5" s="6" t="s">
        <v>32</v>
      </c>
      <c r="C5" s="7" t="s">
        <v>33</v>
      </c>
      <c r="D5" s="7" t="s">
        <v>34</v>
      </c>
      <c r="E5" s="7" t="s">
        <v>1</v>
      </c>
      <c r="F5" s="7" t="s">
        <v>16</v>
      </c>
      <c r="G5" s="7" t="s">
        <v>2</v>
      </c>
      <c r="H5" s="8" t="s">
        <v>3</v>
      </c>
      <c r="I5" s="226" t="s">
        <v>29</v>
      </c>
      <c r="J5" s="240" t="s">
        <v>42</v>
      </c>
      <c r="K5" s="241" t="s">
        <v>21</v>
      </c>
      <c r="L5" s="224" t="s">
        <v>52</v>
      </c>
      <c r="M5" s="238" t="s">
        <v>53</v>
      </c>
    </row>
    <row r="6" spans="1:13" ht="14.1" customHeight="1" x14ac:dyDescent="0.2">
      <c r="A6" s="9" t="s">
        <v>0</v>
      </c>
      <c r="B6" s="10">
        <v>1111</v>
      </c>
      <c r="C6" s="11">
        <v>1112</v>
      </c>
      <c r="D6" s="11">
        <v>1113</v>
      </c>
      <c r="E6" s="11">
        <v>1121</v>
      </c>
      <c r="F6" s="11">
        <v>1122</v>
      </c>
      <c r="G6" s="11">
        <v>1211</v>
      </c>
      <c r="H6" s="12">
        <v>1511</v>
      </c>
      <c r="I6" s="227"/>
      <c r="J6" s="240"/>
      <c r="K6" s="242"/>
      <c r="L6" s="225"/>
      <c r="M6" s="238"/>
    </row>
    <row r="7" spans="1:13" ht="14.1" customHeight="1" x14ac:dyDescent="0.2">
      <c r="A7" s="8" t="s">
        <v>4</v>
      </c>
      <c r="B7" s="107">
        <v>2292264.56</v>
      </c>
      <c r="C7" s="108">
        <v>114957.21</v>
      </c>
      <c r="D7" s="108">
        <v>312679.36</v>
      </c>
      <c r="E7" s="108">
        <v>716997.45</v>
      </c>
      <c r="F7" s="109"/>
      <c r="G7" s="110">
        <v>6244942.2400000002</v>
      </c>
      <c r="H7" s="111">
        <v>8923.2099999999991</v>
      </c>
      <c r="I7" s="94">
        <f t="shared" ref="I7:I18" si="0">SUM(B7:H7)</f>
        <v>9690764.0300000012</v>
      </c>
      <c r="J7" s="71">
        <f>SUM(I7)</f>
        <v>9690764.0300000012</v>
      </c>
      <c r="K7" s="142">
        <f>I7/1</f>
        <v>9690764.0300000012</v>
      </c>
      <c r="L7" s="135">
        <v>10147884.83</v>
      </c>
      <c r="M7" s="87">
        <f>L7</f>
        <v>10147884.83</v>
      </c>
    </row>
    <row r="8" spans="1:13" ht="14.1" customHeight="1" x14ac:dyDescent="0.2">
      <c r="A8" s="8" t="s">
        <v>5</v>
      </c>
      <c r="B8" s="112">
        <v>1708443.5</v>
      </c>
      <c r="C8" s="113">
        <v>55882.400000000001</v>
      </c>
      <c r="D8" s="113">
        <v>368392.48</v>
      </c>
      <c r="E8" s="113">
        <v>253009.09</v>
      </c>
      <c r="F8" s="91"/>
      <c r="G8" s="87">
        <v>7665699.6299999999</v>
      </c>
      <c r="H8" s="92">
        <v>25008.89</v>
      </c>
      <c r="I8" s="94">
        <f t="shared" si="0"/>
        <v>10076435.99</v>
      </c>
      <c r="J8" s="71">
        <f>SUM(I7:I8)</f>
        <v>19767200.020000003</v>
      </c>
      <c r="K8" s="142">
        <f>SUM(I7:I8)/2</f>
        <v>9883600.0100000016</v>
      </c>
      <c r="L8" s="135">
        <v>9361908.8800000008</v>
      </c>
      <c r="M8" s="87">
        <f>SUM(L7:L8)</f>
        <v>19509793.710000001</v>
      </c>
    </row>
    <row r="9" spans="1:13" ht="14.1" customHeight="1" x14ac:dyDescent="0.2">
      <c r="A9" s="8" t="s">
        <v>6</v>
      </c>
      <c r="B9" s="112">
        <v>1272255.23</v>
      </c>
      <c r="C9" s="113">
        <v>216641.85</v>
      </c>
      <c r="D9" s="113">
        <v>252063.32</v>
      </c>
      <c r="E9" s="113">
        <v>5076307.3499999996</v>
      </c>
      <c r="F9" s="91"/>
      <c r="G9" s="87">
        <v>3537018.85</v>
      </c>
      <c r="H9" s="92">
        <v>24100.51</v>
      </c>
      <c r="I9" s="94">
        <f t="shared" si="0"/>
        <v>10378387.109999999</v>
      </c>
      <c r="J9" s="71">
        <f>SUM(I7:I9)</f>
        <v>30145587.130000003</v>
      </c>
      <c r="K9" s="142">
        <f>SUM(I7:I9)/3</f>
        <v>10048529.043333335</v>
      </c>
      <c r="L9" s="135">
        <v>9265021.4499999993</v>
      </c>
      <c r="M9" s="87">
        <f>SUM(L7:L9)</f>
        <v>28774815.16</v>
      </c>
    </row>
    <row r="10" spans="1:13" ht="14.1" customHeight="1" x14ac:dyDescent="0.2">
      <c r="A10" s="8" t="s">
        <v>7</v>
      </c>
      <c r="B10" s="112">
        <v>1321392.95</v>
      </c>
      <c r="C10" s="113">
        <v>0</v>
      </c>
      <c r="D10" s="113">
        <v>294694.25</v>
      </c>
      <c r="E10" s="113">
        <v>1345691.58</v>
      </c>
      <c r="F10" s="91"/>
      <c r="G10" s="87">
        <v>5460752.2599999998</v>
      </c>
      <c r="H10" s="92">
        <v>13798.23</v>
      </c>
      <c r="I10" s="94">
        <f t="shared" si="0"/>
        <v>8436329.2699999996</v>
      </c>
      <c r="J10" s="71">
        <f>SUM(I7:I10)</f>
        <v>38581916.400000006</v>
      </c>
      <c r="K10" s="142">
        <f>SUM(I7:I10)/4</f>
        <v>9645479.1000000015</v>
      </c>
      <c r="L10" s="135">
        <v>6043068.96</v>
      </c>
      <c r="M10" s="87">
        <f>SUM(L7:L10)</f>
        <v>34817884.119999997</v>
      </c>
    </row>
    <row r="11" spans="1:13" ht="14.1" customHeight="1" x14ac:dyDescent="0.2">
      <c r="A11" s="8" t="s">
        <v>8</v>
      </c>
      <c r="B11" s="112">
        <v>1546144.23</v>
      </c>
      <c r="C11" s="113">
        <v>0</v>
      </c>
      <c r="D11" s="113">
        <v>333650.17</v>
      </c>
      <c r="E11" s="113">
        <v>698587.1</v>
      </c>
      <c r="F11" s="91"/>
      <c r="G11" s="87">
        <v>8388824.7799999993</v>
      </c>
      <c r="H11" s="92">
        <v>0</v>
      </c>
      <c r="I11" s="94">
        <f t="shared" si="0"/>
        <v>10967206.279999999</v>
      </c>
      <c r="J11" s="90">
        <f>SUM(I7:I11)</f>
        <v>49549122.680000007</v>
      </c>
      <c r="K11" s="142">
        <f>SUM(I7:I11)/5</f>
        <v>9909824.5360000022</v>
      </c>
      <c r="L11" s="135">
        <v>8155724.3499999996</v>
      </c>
      <c r="M11" s="91">
        <f>SUM(L7:L11)</f>
        <v>42973608.469999999</v>
      </c>
    </row>
    <row r="12" spans="1:13" ht="14.1" customHeight="1" x14ac:dyDescent="0.2">
      <c r="A12" s="8" t="s">
        <v>9</v>
      </c>
      <c r="B12" s="112">
        <v>2083053.69</v>
      </c>
      <c r="C12" s="113">
        <v>0</v>
      </c>
      <c r="D12" s="113">
        <v>365255.9</v>
      </c>
      <c r="E12" s="113">
        <v>5517924.9199999999</v>
      </c>
      <c r="F12" s="91"/>
      <c r="G12" s="87">
        <v>5488121.7800000003</v>
      </c>
      <c r="H12" s="92">
        <v>2861419.92</v>
      </c>
      <c r="I12" s="94">
        <f t="shared" si="0"/>
        <v>16315776.209999999</v>
      </c>
      <c r="J12" s="90">
        <f>SUM(I7:I12)</f>
        <v>65864898.890000008</v>
      </c>
      <c r="K12" s="142">
        <f>SUM(I7:I12)/6</f>
        <v>10977483.148333335</v>
      </c>
      <c r="L12" s="135">
        <v>15303045.210000001</v>
      </c>
      <c r="M12" s="91">
        <f>SUM(L7:L12)</f>
        <v>58276653.68</v>
      </c>
    </row>
    <row r="13" spans="1:13" ht="14.1" customHeight="1" x14ac:dyDescent="0.2">
      <c r="A13" s="8" t="s">
        <v>10</v>
      </c>
      <c r="B13" s="112">
        <v>2175024.2799999998</v>
      </c>
      <c r="C13" s="113">
        <v>689899.07</v>
      </c>
      <c r="D13" s="113">
        <v>470318.88</v>
      </c>
      <c r="E13" s="113">
        <v>8557366.6799999997</v>
      </c>
      <c r="F13" s="113">
        <v>3385040</v>
      </c>
      <c r="G13" s="114">
        <v>7158675.4400000004</v>
      </c>
      <c r="H13" s="92">
        <v>84537.1</v>
      </c>
      <c r="I13" s="94">
        <f t="shared" si="0"/>
        <v>22520861.450000003</v>
      </c>
      <c r="J13" s="90">
        <f>SUM(I7:I13)</f>
        <v>88385760.340000004</v>
      </c>
      <c r="K13" s="142">
        <f>SUM(I7:I13)/7</f>
        <v>12626537.191428572</v>
      </c>
      <c r="L13" s="135">
        <v>14795226.449999999</v>
      </c>
      <c r="M13" s="91">
        <f>SUM(L7:L13)</f>
        <v>73071880.129999995</v>
      </c>
    </row>
    <row r="14" spans="1:13" ht="14.1" customHeight="1" x14ac:dyDescent="0.2">
      <c r="A14" s="8" t="s">
        <v>11</v>
      </c>
      <c r="B14" s="112">
        <v>1976815.66</v>
      </c>
      <c r="C14" s="113">
        <v>0</v>
      </c>
      <c r="D14" s="113">
        <v>500980.26</v>
      </c>
      <c r="E14" s="113">
        <v>0</v>
      </c>
      <c r="F14" s="91"/>
      <c r="G14" s="87">
        <v>8052979.3700000001</v>
      </c>
      <c r="H14" s="92">
        <v>18086.12</v>
      </c>
      <c r="I14" s="94">
        <f t="shared" si="0"/>
        <v>10548861.409999998</v>
      </c>
      <c r="J14" s="90">
        <f>SUM(I7:I14)</f>
        <v>98934621.75</v>
      </c>
      <c r="K14" s="142">
        <f>SUM(I7:I14)/8</f>
        <v>12366827.71875</v>
      </c>
      <c r="L14" s="135">
        <v>12075267.42</v>
      </c>
      <c r="M14" s="91">
        <f>SUM(L7:L14)</f>
        <v>85147147.549999997</v>
      </c>
    </row>
    <row r="15" spans="1:13" ht="14.1" customHeight="1" x14ac:dyDescent="0.2">
      <c r="A15" s="8" t="s">
        <v>12</v>
      </c>
      <c r="B15" s="112">
        <v>2217510.4700000002</v>
      </c>
      <c r="C15" s="113">
        <v>330655.11</v>
      </c>
      <c r="D15" s="113">
        <v>491614.27</v>
      </c>
      <c r="E15" s="113">
        <v>5566767.3399999999</v>
      </c>
      <c r="F15" s="91"/>
      <c r="G15" s="87">
        <v>5479097.7000000002</v>
      </c>
      <c r="H15" s="92">
        <v>107551.03999999999</v>
      </c>
      <c r="I15" s="94">
        <f t="shared" si="0"/>
        <v>14193195.93</v>
      </c>
      <c r="J15" s="90">
        <f>SUM(I7:I15)</f>
        <v>113127817.68000001</v>
      </c>
      <c r="K15" s="142">
        <f>SUM(I7:I15)/9</f>
        <v>12569757.520000001</v>
      </c>
      <c r="L15" s="135">
        <v>11451936.439999999</v>
      </c>
      <c r="M15" s="91">
        <f>SUM(L7:L15)</f>
        <v>96599083.989999995</v>
      </c>
    </row>
    <row r="16" spans="1:13" ht="14.1" customHeight="1" x14ac:dyDescent="0.2">
      <c r="A16" s="8" t="s">
        <v>13</v>
      </c>
      <c r="B16" s="112">
        <v>2016531.51</v>
      </c>
      <c r="C16" s="113">
        <v>117411.23</v>
      </c>
      <c r="D16" s="113">
        <v>372483.91</v>
      </c>
      <c r="E16" s="113">
        <v>1031799.46</v>
      </c>
      <c r="F16" s="91"/>
      <c r="G16" s="87">
        <v>6540916.7699999996</v>
      </c>
      <c r="H16" s="92">
        <v>36944.949999999997</v>
      </c>
      <c r="I16" s="94">
        <f t="shared" si="0"/>
        <v>10116087.829999998</v>
      </c>
      <c r="J16" s="90">
        <f>SUM(I7:I16)</f>
        <v>123243905.51000001</v>
      </c>
      <c r="K16" s="142">
        <f>SUM(I7:I16)/10</f>
        <v>12324390.551000001</v>
      </c>
      <c r="L16" s="135">
        <v>8966694.5800000001</v>
      </c>
      <c r="M16" s="91">
        <f>SUM(L7:L16)</f>
        <v>105565778.56999999</v>
      </c>
    </row>
    <row r="17" spans="1:13" ht="14.1" customHeight="1" x14ac:dyDescent="0.2">
      <c r="A17" s="8" t="s">
        <v>14</v>
      </c>
      <c r="B17" s="112">
        <v>2175020.9500000002</v>
      </c>
      <c r="C17" s="113">
        <v>86923.49</v>
      </c>
      <c r="D17" s="113">
        <v>409914.22</v>
      </c>
      <c r="E17" s="113">
        <v>103391.16</v>
      </c>
      <c r="F17" s="91"/>
      <c r="G17" s="87">
        <v>9474035.6799999997</v>
      </c>
      <c r="H17" s="92">
        <v>16530.93</v>
      </c>
      <c r="I17" s="94">
        <f t="shared" si="0"/>
        <v>12265816.43</v>
      </c>
      <c r="J17" s="90">
        <f>SUM(I7:I17)</f>
        <v>135509721.94</v>
      </c>
      <c r="K17" s="142">
        <f>SUM(I7:I17)/11</f>
        <v>12319065.630909091</v>
      </c>
      <c r="L17" s="135">
        <v>10203788.74</v>
      </c>
      <c r="M17" s="87">
        <f>SUM(L7:L17)</f>
        <v>115769567.30999999</v>
      </c>
    </row>
    <row r="18" spans="1:13" ht="14.1" customHeight="1" thickBot="1" x14ac:dyDescent="0.25">
      <c r="A18" s="8" t="s">
        <v>15</v>
      </c>
      <c r="B18" s="112">
        <v>2637305.8199999998</v>
      </c>
      <c r="C18" s="113">
        <v>478468.29</v>
      </c>
      <c r="D18" s="113">
        <v>475718.85</v>
      </c>
      <c r="E18" s="113">
        <v>6274963.21</v>
      </c>
      <c r="F18" s="91"/>
      <c r="G18" s="87">
        <v>6340723.4299999997</v>
      </c>
      <c r="H18" s="92">
        <v>651711.30000000005</v>
      </c>
      <c r="I18" s="93">
        <f t="shared" si="0"/>
        <v>16858890.899999999</v>
      </c>
      <c r="J18" s="165">
        <f>SUM(I7:I18)</f>
        <v>152368612.84</v>
      </c>
      <c r="K18" s="142">
        <f>SUM(I7:I18)/12</f>
        <v>12697384.403333334</v>
      </c>
      <c r="L18" s="169">
        <v>15967489.050000001</v>
      </c>
      <c r="M18" s="24">
        <f>SUM(L7:L18)</f>
        <v>131737056.35999998</v>
      </c>
    </row>
    <row r="19" spans="1:13" ht="30" customHeight="1" thickBot="1" x14ac:dyDescent="0.25">
      <c r="A19" s="25" t="s">
        <v>28</v>
      </c>
      <c r="B19" s="26">
        <f>SUM(B7:B18)</f>
        <v>23421762.850000001</v>
      </c>
      <c r="C19" s="26">
        <f t="shared" ref="C19:H19" si="1">SUM(C7:C18)</f>
        <v>2090838.6500000001</v>
      </c>
      <c r="D19" s="26">
        <f t="shared" si="1"/>
        <v>4647765.87</v>
      </c>
      <c r="E19" s="26">
        <f t="shared" si="1"/>
        <v>35142805.339999996</v>
      </c>
      <c r="F19" s="26">
        <f t="shared" si="1"/>
        <v>3385040</v>
      </c>
      <c r="G19" s="26">
        <f t="shared" si="1"/>
        <v>79831787.930000007</v>
      </c>
      <c r="H19" s="26">
        <f t="shared" si="1"/>
        <v>3848612.2</v>
      </c>
      <c r="I19" s="27">
        <f>SUM(I7:I18)</f>
        <v>152368612.84</v>
      </c>
      <c r="J19" s="68" t="s">
        <v>31</v>
      </c>
      <c r="K19" s="28"/>
      <c r="L19" s="136">
        <f>SUM(L7:L18)</f>
        <v>131737056.35999998</v>
      </c>
    </row>
    <row r="20" spans="1:13" ht="12" customHeight="1" x14ac:dyDescent="0.2">
      <c r="A20" s="29"/>
      <c r="B20" s="30"/>
      <c r="C20" s="30"/>
      <c r="D20" s="30"/>
      <c r="E20" s="30"/>
      <c r="F20" s="30"/>
      <c r="G20" s="30"/>
      <c r="H20" s="30"/>
      <c r="J20" s="31">
        <f>SUM(B19:H19)</f>
        <v>152368612.83999997</v>
      </c>
      <c r="K20" s="32"/>
      <c r="L20" s="170"/>
    </row>
    <row r="21" spans="1:13" ht="33" customHeight="1" x14ac:dyDescent="0.2">
      <c r="A21" s="59" t="s">
        <v>56</v>
      </c>
      <c r="B21" s="171">
        <v>20816000</v>
      </c>
      <c r="C21" s="171">
        <v>1154000</v>
      </c>
      <c r="D21" s="171">
        <v>3540000</v>
      </c>
      <c r="E21" s="171">
        <v>29924000</v>
      </c>
      <c r="F21" s="171"/>
      <c r="G21" s="171">
        <v>67948000</v>
      </c>
      <c r="H21" s="172">
        <v>3609000</v>
      </c>
      <c r="I21" s="166">
        <f>SUM(B21:H21)</f>
        <v>126991000</v>
      </c>
      <c r="J21" s="114"/>
      <c r="K21" s="32"/>
      <c r="L21" s="137">
        <f>L19/12</f>
        <v>10978088.029999999</v>
      </c>
    </row>
    <row r="22" spans="1:13" ht="35.25" customHeight="1" x14ac:dyDescent="0.2">
      <c r="A22" s="115" t="s">
        <v>63</v>
      </c>
      <c r="B22" s="156">
        <v>20816000</v>
      </c>
      <c r="C22" s="156">
        <v>1154000</v>
      </c>
      <c r="D22" s="156">
        <v>3540000</v>
      </c>
      <c r="E22" s="156">
        <v>29924000</v>
      </c>
      <c r="F22" s="156">
        <v>3385000</v>
      </c>
      <c r="G22" s="156">
        <v>67948000</v>
      </c>
      <c r="H22" s="157">
        <v>3609000</v>
      </c>
      <c r="I22" s="158">
        <f>SUM(B22:H22)</f>
        <v>130376000</v>
      </c>
      <c r="J22" s="114"/>
      <c r="K22" s="32"/>
      <c r="L22" s="67" t="s">
        <v>47</v>
      </c>
    </row>
    <row r="23" spans="1:13" ht="27" hidden="1" customHeight="1" x14ac:dyDescent="0.2">
      <c r="A23" s="115" t="s">
        <v>45</v>
      </c>
      <c r="B23" s="116"/>
      <c r="C23" s="125"/>
      <c r="D23" s="125"/>
      <c r="E23" s="125"/>
      <c r="F23" s="125"/>
      <c r="G23" s="125"/>
      <c r="H23" s="126"/>
      <c r="I23" s="127"/>
      <c r="J23" s="173"/>
      <c r="K23" s="30"/>
      <c r="L23" s="63"/>
    </row>
    <row r="24" spans="1:13" ht="33" hidden="1" customHeight="1" x14ac:dyDescent="0.2">
      <c r="A24" s="115" t="s">
        <v>51</v>
      </c>
      <c r="B24" s="116"/>
      <c r="C24" s="125"/>
      <c r="D24" s="125"/>
      <c r="E24" s="125"/>
      <c r="F24" s="125"/>
      <c r="G24" s="125"/>
      <c r="H24" s="126"/>
      <c r="I24" s="127"/>
      <c r="J24" s="173"/>
      <c r="K24" s="30"/>
      <c r="L24" s="63"/>
    </row>
    <row r="25" spans="1:13" ht="15.95" customHeight="1" x14ac:dyDescent="0.2">
      <c r="A25" s="34" t="s">
        <v>22</v>
      </c>
      <c r="B25" s="53">
        <f>B19/B21</f>
        <v>1.1251807671983092</v>
      </c>
      <c r="C25" s="53">
        <f t="shared" ref="C25:H25" si="2">C19/C21</f>
        <v>1.8118185875216639</v>
      </c>
      <c r="D25" s="53">
        <f t="shared" si="2"/>
        <v>1.3129282118644068</v>
      </c>
      <c r="E25" s="53">
        <f t="shared" si="2"/>
        <v>1.1744019963908567</v>
      </c>
      <c r="F25" s="53">
        <f>F13/F22</f>
        <v>1.0000118168389955</v>
      </c>
      <c r="G25" s="53">
        <f t="shared" si="2"/>
        <v>1.1748953306940602</v>
      </c>
      <c r="H25" s="53">
        <f t="shared" si="2"/>
        <v>1.0663929620393462</v>
      </c>
      <c r="I25" s="53">
        <f>I19/I22</f>
        <v>1.1686860529545315</v>
      </c>
      <c r="J25" s="174"/>
      <c r="K25" s="32"/>
      <c r="L25" s="30"/>
    </row>
    <row r="26" spans="1:13" ht="12" customHeight="1" x14ac:dyDescent="0.2">
      <c r="A26" s="29"/>
      <c r="B26" s="30"/>
      <c r="C26" s="30"/>
      <c r="D26" s="30"/>
      <c r="E26" s="30"/>
      <c r="F26" s="96"/>
      <c r="G26" s="30"/>
      <c r="H26" s="30"/>
      <c r="I26" s="30"/>
      <c r="J26" s="114"/>
      <c r="K26" s="32"/>
      <c r="L26" s="30"/>
    </row>
    <row r="27" spans="1:13" ht="31.5" customHeight="1" x14ac:dyDescent="0.2">
      <c r="A27" s="128" t="s">
        <v>52</v>
      </c>
      <c r="B27" s="129">
        <v>21770382.109999999</v>
      </c>
      <c r="C27" s="129">
        <v>1392047.17</v>
      </c>
      <c r="D27" s="129">
        <v>3610089.86</v>
      </c>
      <c r="E27" s="129">
        <v>30459068.629999999</v>
      </c>
      <c r="F27" s="129">
        <v>2540300</v>
      </c>
      <c r="G27" s="129">
        <v>68122168.189999998</v>
      </c>
      <c r="H27" s="138">
        <v>3843000.4</v>
      </c>
      <c r="I27" s="139">
        <f>SUM(B27:H27)</f>
        <v>131737056.36</v>
      </c>
    </row>
    <row r="28" spans="1:13" ht="18" customHeight="1" x14ac:dyDescent="0.2">
      <c r="A28" s="36"/>
      <c r="B28" s="37"/>
      <c r="C28" s="37"/>
      <c r="D28" s="37"/>
      <c r="E28" s="37"/>
      <c r="F28" s="37"/>
      <c r="G28" s="37"/>
      <c r="H28" s="37"/>
      <c r="I28" s="30"/>
    </row>
    <row r="29" spans="1:13" ht="17.100000000000001" customHeight="1" x14ac:dyDescent="0.2">
      <c r="A29" s="38"/>
      <c r="B29" s="114"/>
      <c r="C29" s="37"/>
      <c r="D29" s="39"/>
      <c r="E29" s="39"/>
      <c r="F29" s="39"/>
      <c r="G29" s="40"/>
    </row>
    <row r="30" spans="1:13" ht="12" customHeight="1" x14ac:dyDescent="0.2">
      <c r="A30" s="175"/>
      <c r="B30" s="42" t="s">
        <v>26</v>
      </c>
      <c r="C30" s="43"/>
      <c r="D30" s="43"/>
      <c r="E30" s="37"/>
      <c r="F30" s="39"/>
      <c r="G30" s="40"/>
      <c r="I30" s="106" t="s">
        <v>57</v>
      </c>
    </row>
    <row r="31" spans="1:13" ht="45" customHeight="1" x14ac:dyDescent="0.2">
      <c r="B31" s="147" t="s">
        <v>24</v>
      </c>
      <c r="C31" s="57" t="s">
        <v>35</v>
      </c>
      <c r="D31" s="56" t="s">
        <v>20</v>
      </c>
      <c r="E31" s="45"/>
      <c r="F31" s="39"/>
      <c r="I31" s="105"/>
      <c r="J31" s="7" t="s">
        <v>55</v>
      </c>
      <c r="K31" s="123" t="s">
        <v>54</v>
      </c>
      <c r="L31" s="123" t="s">
        <v>46</v>
      </c>
      <c r="M31" s="123" t="s">
        <v>43</v>
      </c>
    </row>
    <row r="32" spans="1:13" ht="21.95" customHeight="1" x14ac:dyDescent="0.2">
      <c r="A32" s="170" t="s">
        <v>27</v>
      </c>
      <c r="B32" s="87">
        <f>$C$45*1</f>
        <v>10582583</v>
      </c>
      <c r="C32" s="176">
        <v>9690764.0299999993</v>
      </c>
      <c r="D32" s="46">
        <f t="shared" ref="D32:D43" si="3">C32-B32</f>
        <v>-891818.97000000067</v>
      </c>
      <c r="E32" s="63" t="s">
        <v>30</v>
      </c>
      <c r="F32" s="44"/>
      <c r="I32" s="103" t="s">
        <v>0</v>
      </c>
      <c r="J32" s="11">
        <v>1211</v>
      </c>
      <c r="K32" s="101">
        <v>1211</v>
      </c>
      <c r="L32" s="101">
        <v>1211</v>
      </c>
      <c r="M32" s="101">
        <v>1211</v>
      </c>
    </row>
    <row r="33" spans="1:13" ht="15.75" customHeight="1" x14ac:dyDescent="0.2">
      <c r="A33" s="170" t="s">
        <v>5</v>
      </c>
      <c r="B33" s="87">
        <f>$C$45*2</f>
        <v>21165166</v>
      </c>
      <c r="C33" s="88">
        <v>19767200.02</v>
      </c>
      <c r="D33" s="46">
        <f t="shared" si="3"/>
        <v>-1397965.9800000004</v>
      </c>
      <c r="E33" s="63" t="s">
        <v>30</v>
      </c>
      <c r="F33" s="44"/>
      <c r="I33" s="104" t="s">
        <v>4</v>
      </c>
      <c r="J33" s="110">
        <v>6244942.2400000002</v>
      </c>
      <c r="K33" s="177">
        <v>5255762.3</v>
      </c>
      <c r="L33" s="177">
        <v>5252142.5</v>
      </c>
      <c r="M33" s="177">
        <v>5106371.01</v>
      </c>
    </row>
    <row r="34" spans="1:13" ht="15.75" customHeight="1" x14ac:dyDescent="0.2">
      <c r="A34" s="170" t="s">
        <v>6</v>
      </c>
      <c r="B34" s="87">
        <f>$C$45*3</f>
        <v>31747749</v>
      </c>
      <c r="C34" s="88">
        <v>30292326.23</v>
      </c>
      <c r="D34" s="46">
        <f t="shared" si="3"/>
        <v>-1455422.7699999996</v>
      </c>
      <c r="E34" s="63" t="s">
        <v>30</v>
      </c>
      <c r="F34" s="44"/>
      <c r="I34" s="104" t="s">
        <v>5</v>
      </c>
      <c r="J34" s="87">
        <v>7665699.6299999999</v>
      </c>
      <c r="K34" s="178">
        <v>6870715.8200000003</v>
      </c>
      <c r="L34" s="178">
        <v>6469795.5300000003</v>
      </c>
      <c r="M34" s="178">
        <v>6034716.8700000001</v>
      </c>
    </row>
    <row r="35" spans="1:13" ht="15.75" customHeight="1" x14ac:dyDescent="0.2">
      <c r="A35" s="170" t="s">
        <v>7</v>
      </c>
      <c r="B35" s="87">
        <f>$C$45*4</f>
        <v>42330332</v>
      </c>
      <c r="C35" s="88">
        <v>38581916.399999999</v>
      </c>
      <c r="D35" s="46">
        <f t="shared" si="3"/>
        <v>-3748415.6000000015</v>
      </c>
      <c r="E35" s="63" t="s">
        <v>30</v>
      </c>
      <c r="F35" s="44"/>
      <c r="I35" s="104" t="s">
        <v>6</v>
      </c>
      <c r="J35" s="87">
        <v>3537018.85</v>
      </c>
      <c r="K35" s="178">
        <v>2671503.0099999998</v>
      </c>
      <c r="L35" s="178">
        <v>3369082.48</v>
      </c>
      <c r="M35" s="178">
        <v>2779600.07</v>
      </c>
    </row>
    <row r="36" spans="1:13" ht="15.75" customHeight="1" x14ac:dyDescent="0.2">
      <c r="A36" s="179" t="s">
        <v>8</v>
      </c>
      <c r="B36" s="87">
        <f>$C$45*5</f>
        <v>52912915</v>
      </c>
      <c r="C36" s="71">
        <v>49549122.68</v>
      </c>
      <c r="D36" s="46">
        <f t="shared" si="3"/>
        <v>-3363792.3200000003</v>
      </c>
      <c r="E36" s="63" t="s">
        <v>30</v>
      </c>
      <c r="F36" s="44"/>
      <c r="I36" s="104" t="s">
        <v>7</v>
      </c>
      <c r="J36" s="87">
        <v>5460752.2599999998</v>
      </c>
      <c r="K36" s="178">
        <v>4053519.95</v>
      </c>
      <c r="L36" s="178">
        <v>3372276.48</v>
      </c>
      <c r="M36" s="178">
        <v>3684564.18</v>
      </c>
    </row>
    <row r="37" spans="1:13" ht="15.75" customHeight="1" x14ac:dyDescent="0.2">
      <c r="A37" s="170" t="s">
        <v>9</v>
      </c>
      <c r="B37" s="87">
        <f>$C$45*6</f>
        <v>63495498</v>
      </c>
      <c r="C37" s="71">
        <v>65864898.890000001</v>
      </c>
      <c r="D37" s="24">
        <f t="shared" si="3"/>
        <v>2369400.8900000006</v>
      </c>
      <c r="E37" s="63" t="s">
        <v>40</v>
      </c>
      <c r="F37" s="39"/>
      <c r="I37" s="104" t="s">
        <v>8</v>
      </c>
      <c r="J37" s="87">
        <v>8388824.7799999993</v>
      </c>
      <c r="K37" s="178">
        <v>6733585.4199999999</v>
      </c>
      <c r="L37" s="178">
        <v>4859277.78</v>
      </c>
      <c r="M37" s="178">
        <v>5998392.7199999997</v>
      </c>
    </row>
    <row r="38" spans="1:13" ht="15.75" customHeight="1" x14ac:dyDescent="0.2">
      <c r="A38" s="170" t="s">
        <v>10</v>
      </c>
      <c r="B38" s="87">
        <f>$C$45*7</f>
        <v>74078081</v>
      </c>
      <c r="C38" s="180">
        <v>88385760.340000004</v>
      </c>
      <c r="D38" s="24">
        <f t="shared" si="3"/>
        <v>14307679.340000004</v>
      </c>
      <c r="E38" s="63" t="s">
        <v>40</v>
      </c>
      <c r="F38" s="44"/>
      <c r="I38" s="104" t="s">
        <v>9</v>
      </c>
      <c r="J38" s="87">
        <v>5488121.7800000003</v>
      </c>
      <c r="K38" s="178">
        <v>4811765.8</v>
      </c>
      <c r="L38" s="178">
        <v>3191430.85</v>
      </c>
      <c r="M38" s="178">
        <v>4378618.8</v>
      </c>
    </row>
    <row r="39" spans="1:13" ht="15.75" customHeight="1" x14ac:dyDescent="0.2">
      <c r="A39" s="170" t="s">
        <v>11</v>
      </c>
      <c r="B39" s="87">
        <f>$C$45*8</f>
        <v>84660664</v>
      </c>
      <c r="C39" s="71">
        <v>98934621.75</v>
      </c>
      <c r="D39" s="46">
        <f t="shared" si="3"/>
        <v>14273957.75</v>
      </c>
      <c r="E39" s="63" t="s">
        <v>40</v>
      </c>
      <c r="F39" s="44"/>
      <c r="I39" s="104" t="s">
        <v>10</v>
      </c>
      <c r="J39" s="181">
        <v>7158675.4400000004</v>
      </c>
      <c r="K39" s="182">
        <v>5796931.3499999996</v>
      </c>
      <c r="L39" s="178">
        <v>4564190.4400000004</v>
      </c>
      <c r="M39" s="178">
        <v>4790309.29</v>
      </c>
    </row>
    <row r="40" spans="1:13" ht="15.75" customHeight="1" x14ac:dyDescent="0.2">
      <c r="A40" s="170" t="s">
        <v>12</v>
      </c>
      <c r="B40" s="87">
        <f>$C$45*9</f>
        <v>95243247</v>
      </c>
      <c r="C40" s="71">
        <v>113127817.68000001</v>
      </c>
      <c r="D40" s="46">
        <f t="shared" si="3"/>
        <v>17884570.680000007</v>
      </c>
      <c r="E40" s="63" t="s">
        <v>40</v>
      </c>
      <c r="F40" s="44"/>
      <c r="I40" s="104" t="s">
        <v>11</v>
      </c>
      <c r="J40" s="87">
        <v>8052979.3700000001</v>
      </c>
      <c r="K40" s="178">
        <v>7294324.4900000002</v>
      </c>
      <c r="L40" s="178">
        <v>6249409.1500000004</v>
      </c>
      <c r="M40" s="178">
        <v>5994646.1100000003</v>
      </c>
    </row>
    <row r="41" spans="1:13" ht="15.75" customHeight="1" x14ac:dyDescent="0.2">
      <c r="A41" s="170" t="s">
        <v>13</v>
      </c>
      <c r="B41" s="87">
        <f>$C$46*10</f>
        <v>108646666.66666666</v>
      </c>
      <c r="C41" s="71">
        <v>123243905.51000001</v>
      </c>
      <c r="D41" s="46">
        <f t="shared" si="3"/>
        <v>14597238.843333349</v>
      </c>
      <c r="E41" s="63" t="s">
        <v>40</v>
      </c>
      <c r="F41" s="44"/>
      <c r="I41" s="104" t="s">
        <v>12</v>
      </c>
      <c r="J41" s="87">
        <v>5479097.7000000002</v>
      </c>
      <c r="K41" s="178">
        <v>4526669.63</v>
      </c>
      <c r="L41" s="178">
        <v>4552347.4800000004</v>
      </c>
      <c r="M41" s="178">
        <v>4031142.81</v>
      </c>
    </row>
    <row r="42" spans="1:13" ht="15.75" customHeight="1" x14ac:dyDescent="0.2">
      <c r="A42" s="170" t="s">
        <v>23</v>
      </c>
      <c r="B42" s="87">
        <f>$C$46*11</f>
        <v>119511333.33333333</v>
      </c>
      <c r="C42" s="71">
        <v>135509721.94</v>
      </c>
      <c r="D42" s="46">
        <f t="shared" si="3"/>
        <v>15998388.606666669</v>
      </c>
      <c r="E42" s="63" t="s">
        <v>40</v>
      </c>
      <c r="F42" s="44"/>
      <c r="I42" s="104" t="s">
        <v>13</v>
      </c>
      <c r="J42" s="87">
        <v>6540916.7699999996</v>
      </c>
      <c r="K42" s="178">
        <v>5564919.0700000003</v>
      </c>
      <c r="L42" s="178">
        <v>4626008.59</v>
      </c>
      <c r="M42" s="178">
        <v>4400002.55</v>
      </c>
    </row>
    <row r="43" spans="1:13" ht="15.75" customHeight="1" x14ac:dyDescent="0.2">
      <c r="A43" s="170" t="s">
        <v>15</v>
      </c>
      <c r="B43" s="87">
        <f>$C$46*12</f>
        <v>130376000</v>
      </c>
      <c r="C43" s="71">
        <v>152368612.84</v>
      </c>
      <c r="D43" s="46">
        <f t="shared" si="3"/>
        <v>21992612.840000004</v>
      </c>
      <c r="E43" s="63" t="s">
        <v>40</v>
      </c>
      <c r="F43" s="44"/>
      <c r="I43" s="104" t="s">
        <v>14</v>
      </c>
      <c r="J43" s="87">
        <v>9474035.6799999997</v>
      </c>
      <c r="K43" s="178">
        <v>7698895.7300000004</v>
      </c>
      <c r="L43" s="178">
        <v>6621002.2300000004</v>
      </c>
      <c r="M43" s="178">
        <v>6563125.0199999996</v>
      </c>
    </row>
    <row r="44" spans="1:13" ht="15.75" customHeight="1" x14ac:dyDescent="0.2">
      <c r="A44" s="245" t="s">
        <v>25</v>
      </c>
      <c r="B44" s="245"/>
      <c r="C44" s="160">
        <v>126991000</v>
      </c>
      <c r="D44" s="183"/>
      <c r="E44" s="183"/>
      <c r="F44" s="44"/>
      <c r="I44" s="104" t="s">
        <v>15</v>
      </c>
      <c r="J44" s="87">
        <v>6340723.4299999997</v>
      </c>
      <c r="K44" s="178">
        <v>6843575.6200000001</v>
      </c>
      <c r="L44" s="178">
        <v>5248774.17</v>
      </c>
      <c r="M44" s="178">
        <v>5317639.09</v>
      </c>
    </row>
    <row r="45" spans="1:13" ht="35.25" customHeight="1" x14ac:dyDescent="0.2">
      <c r="A45" s="235" t="s">
        <v>37</v>
      </c>
      <c r="B45" s="235"/>
      <c r="C45" s="150">
        <v>10582583</v>
      </c>
      <c r="D45" s="183"/>
      <c r="E45" s="183"/>
      <c r="F45" s="44"/>
      <c r="I45" s="76" t="s">
        <v>44</v>
      </c>
      <c r="J45" s="26">
        <f t="shared" ref="J45:K45" si="4">SUM(J33:J44)</f>
        <v>79831787.930000007</v>
      </c>
      <c r="K45" s="99">
        <f t="shared" si="4"/>
        <v>68122168.190000013</v>
      </c>
      <c r="L45" s="99">
        <f>SUM(L33:L44)</f>
        <v>58375737.680000022</v>
      </c>
      <c r="M45" s="99">
        <f>SUM(M33:M44)</f>
        <v>59079128.519999996</v>
      </c>
    </row>
    <row r="46" spans="1:13" ht="35.25" customHeight="1" x14ac:dyDescent="0.2">
      <c r="A46" s="235" t="s">
        <v>64</v>
      </c>
      <c r="B46" s="235"/>
      <c r="C46" s="160">
        <f>I22/12</f>
        <v>10864666.666666666</v>
      </c>
      <c r="D46" s="120"/>
      <c r="E46" s="183"/>
      <c r="F46" s="44"/>
      <c r="I46" s="121"/>
      <c r="J46" s="60"/>
      <c r="K46" s="60"/>
      <c r="L46" s="60"/>
    </row>
    <row r="47" spans="1:13" ht="24" customHeight="1" x14ac:dyDescent="0.2">
      <c r="A47" s="62" t="s">
        <v>36</v>
      </c>
      <c r="B47" s="161"/>
      <c r="C47" s="72"/>
      <c r="D47" s="120"/>
      <c r="E47" s="183"/>
      <c r="F47" s="44"/>
      <c r="I47" s="121"/>
      <c r="J47" s="60"/>
      <c r="K47" s="60"/>
      <c r="L47" s="60"/>
    </row>
    <row r="48" spans="1:13" ht="15.75" customHeight="1" x14ac:dyDescent="0.2">
      <c r="B48" s="114"/>
      <c r="C48" s="184"/>
      <c r="E48" s="37"/>
      <c r="F48" s="44"/>
    </row>
    <row r="49" spans="1:11" x14ac:dyDescent="0.2">
      <c r="A49" s="36"/>
      <c r="B49" s="37"/>
      <c r="C49" s="37"/>
      <c r="D49" s="37"/>
      <c r="E49" s="37"/>
      <c r="F49" s="37"/>
      <c r="G49" s="37"/>
      <c r="H49" s="37"/>
      <c r="I49" s="30"/>
      <c r="K49" s="30"/>
    </row>
    <row r="50" spans="1:11" ht="15.75" x14ac:dyDescent="0.2">
      <c r="A50" s="1" t="s">
        <v>58</v>
      </c>
      <c r="B50" s="114"/>
      <c r="D50" s="48"/>
      <c r="E50" s="47"/>
      <c r="F50" s="47"/>
      <c r="G50" s="47"/>
      <c r="H50" s="47"/>
      <c r="I50" s="47"/>
      <c r="J50" s="47"/>
      <c r="K50" s="47"/>
    </row>
    <row r="51" spans="1:11" ht="15.75" x14ac:dyDescent="0.2">
      <c r="A51" s="1"/>
      <c r="B51" s="114"/>
      <c r="D51" s="48"/>
      <c r="E51" s="47"/>
      <c r="F51" s="47"/>
      <c r="G51" s="47"/>
      <c r="H51" s="47"/>
      <c r="I51" s="47"/>
      <c r="J51" s="47"/>
      <c r="K51" s="47"/>
    </row>
    <row r="52" spans="1:11" ht="15.75" customHeight="1" x14ac:dyDescent="0.2">
      <c r="A52" s="1"/>
      <c r="B52" s="114"/>
      <c r="C52" s="78"/>
      <c r="E52" s="47"/>
      <c r="F52" s="47"/>
      <c r="G52" s="47"/>
      <c r="H52" s="47"/>
      <c r="I52" s="47"/>
      <c r="J52" s="47"/>
      <c r="K52" s="47"/>
    </row>
    <row r="53" spans="1:11" x14ac:dyDescent="0.2">
      <c r="A53" s="70" t="s">
        <v>17</v>
      </c>
      <c r="B53" s="246" t="s">
        <v>60</v>
      </c>
      <c r="C53" s="246"/>
      <c r="D53" s="246"/>
      <c r="E53" s="246"/>
      <c r="F53" s="246"/>
      <c r="G53" s="98"/>
      <c r="H53" s="97"/>
    </row>
    <row r="54" spans="1:11" ht="38.25" customHeight="1" x14ac:dyDescent="0.2">
      <c r="A54" s="5" t="s">
        <v>18</v>
      </c>
      <c r="B54" s="49" t="s">
        <v>41</v>
      </c>
      <c r="C54" s="8" t="s">
        <v>38</v>
      </c>
      <c r="D54" s="233" t="s">
        <v>39</v>
      </c>
      <c r="E54" s="247" t="s">
        <v>42</v>
      </c>
      <c r="F54" s="241" t="s">
        <v>21</v>
      </c>
      <c r="G54" s="236" t="s">
        <v>52</v>
      </c>
      <c r="H54" s="243" t="s">
        <v>53</v>
      </c>
    </row>
    <row r="55" spans="1:11" ht="15" customHeight="1" x14ac:dyDescent="0.2">
      <c r="A55" s="9" t="s">
        <v>0</v>
      </c>
      <c r="B55" s="73">
        <v>1381</v>
      </c>
      <c r="C55" s="141">
        <v>1385</v>
      </c>
      <c r="D55" s="234"/>
      <c r="E55" s="248"/>
      <c r="F55" s="242"/>
      <c r="G55" s="237"/>
      <c r="H55" s="244"/>
    </row>
    <row r="56" spans="1:11" ht="14.1" customHeight="1" x14ac:dyDescent="0.2">
      <c r="A56" s="49" t="s">
        <v>4</v>
      </c>
      <c r="B56" s="185">
        <v>2716.08</v>
      </c>
      <c r="C56" s="85">
        <v>0</v>
      </c>
      <c r="D56" s="82">
        <f>SUM(B56:C56)</f>
        <v>2716.08</v>
      </c>
      <c r="E56" s="86">
        <f>D56</f>
        <v>2716.08</v>
      </c>
      <c r="F56" s="151">
        <f>E56/1</f>
        <v>2716.08</v>
      </c>
      <c r="G56" s="186">
        <v>60352.26</v>
      </c>
      <c r="H56" s="110">
        <f>SUM(G56)</f>
        <v>60352.26</v>
      </c>
    </row>
    <row r="57" spans="1:11" ht="14.1" customHeight="1" x14ac:dyDescent="0.2">
      <c r="A57" s="49" t="s">
        <v>5</v>
      </c>
      <c r="B57" s="122">
        <v>301619.96999999997</v>
      </c>
      <c r="C57" s="85">
        <v>0</v>
      </c>
      <c r="D57" s="82">
        <f t="shared" ref="D57:D68" si="5">SUM(B57:C57)</f>
        <v>301619.96999999997</v>
      </c>
      <c r="E57" s="86">
        <f>SUM($D$56:D57)</f>
        <v>304336.05</v>
      </c>
      <c r="F57" s="144">
        <f>E57/2</f>
        <v>152168.02499999999</v>
      </c>
      <c r="G57" s="131">
        <v>213744.58</v>
      </c>
      <c r="H57" s="87">
        <f>SUM(G56:G57)</f>
        <v>274096.83999999997</v>
      </c>
    </row>
    <row r="58" spans="1:11" ht="14.1" customHeight="1" x14ac:dyDescent="0.2">
      <c r="A58" s="49" t="s">
        <v>6</v>
      </c>
      <c r="B58" s="122">
        <v>1294.0899999999999</v>
      </c>
      <c r="C58" s="85">
        <v>0</v>
      </c>
      <c r="D58" s="82">
        <f t="shared" si="5"/>
        <v>1294.0899999999999</v>
      </c>
      <c r="E58" s="86">
        <f>SUM($D$56:D58)</f>
        <v>305630.14</v>
      </c>
      <c r="F58" s="144">
        <f>E58/3</f>
        <v>101876.71333333333</v>
      </c>
      <c r="G58" s="131">
        <v>1190.9100000000001</v>
      </c>
      <c r="H58" s="87">
        <f>SUM(G56:G58)</f>
        <v>275287.74999999994</v>
      </c>
    </row>
    <row r="59" spans="1:11" ht="14.1" customHeight="1" x14ac:dyDescent="0.2">
      <c r="A59" s="49" t="s">
        <v>7</v>
      </c>
      <c r="B59" s="122">
        <v>1087.93</v>
      </c>
      <c r="C59" s="85">
        <v>0</v>
      </c>
      <c r="D59" s="82">
        <f t="shared" si="5"/>
        <v>1087.93</v>
      </c>
      <c r="E59" s="86">
        <f>SUM($D$56:D59)</f>
        <v>306718.07</v>
      </c>
      <c r="F59" s="144">
        <f>E59/4</f>
        <v>76679.517500000002</v>
      </c>
      <c r="G59" s="131">
        <v>0</v>
      </c>
      <c r="H59" s="87">
        <f>SUM(G56:G59)</f>
        <v>275287.74999999994</v>
      </c>
    </row>
    <row r="60" spans="1:11" ht="14.1" customHeight="1" x14ac:dyDescent="0.2">
      <c r="A60" s="49" t="s">
        <v>8</v>
      </c>
      <c r="B60" s="122">
        <v>278875.81</v>
      </c>
      <c r="C60" s="85">
        <v>0</v>
      </c>
      <c r="D60" s="82">
        <f t="shared" si="5"/>
        <v>278875.81</v>
      </c>
      <c r="E60" s="86">
        <f>SUM($D$56:D60)</f>
        <v>585593.88</v>
      </c>
      <c r="F60" s="144">
        <f>E60/5</f>
        <v>117118.776</v>
      </c>
      <c r="G60" s="131">
        <v>174587.99</v>
      </c>
      <c r="H60" s="87">
        <f>SUM(G56:G60)</f>
        <v>449875.73999999993</v>
      </c>
    </row>
    <row r="61" spans="1:11" ht="14.1" customHeight="1" x14ac:dyDescent="0.2">
      <c r="A61" s="49" t="s">
        <v>9</v>
      </c>
      <c r="B61" s="122">
        <v>0</v>
      </c>
      <c r="C61" s="85">
        <v>0</v>
      </c>
      <c r="D61" s="82">
        <f t="shared" si="5"/>
        <v>0</v>
      </c>
      <c r="E61" s="86">
        <f>SUM($D$56:D61)</f>
        <v>585593.88</v>
      </c>
      <c r="F61" s="144">
        <f>E61/6</f>
        <v>97598.98</v>
      </c>
      <c r="G61" s="131">
        <v>0</v>
      </c>
      <c r="H61" s="155">
        <f>SUM(G56:G61)</f>
        <v>449875.73999999993</v>
      </c>
    </row>
    <row r="62" spans="1:11" ht="14.1" customHeight="1" x14ac:dyDescent="0.2">
      <c r="A62" s="49" t="s">
        <v>10</v>
      </c>
      <c r="B62" s="122">
        <v>770.62</v>
      </c>
      <c r="C62" s="85">
        <v>0</v>
      </c>
      <c r="D62" s="82">
        <f t="shared" si="5"/>
        <v>770.62</v>
      </c>
      <c r="E62" s="86">
        <f>SUM($D$56:D62)</f>
        <v>586364.5</v>
      </c>
      <c r="F62" s="144">
        <f>E62/7</f>
        <v>83766.357142857145</v>
      </c>
      <c r="G62" s="131">
        <v>1106.7</v>
      </c>
      <c r="H62" s="155">
        <f>SUM(G56:G62)</f>
        <v>450982.43999999994</v>
      </c>
    </row>
    <row r="63" spans="1:11" ht="14.1" customHeight="1" x14ac:dyDescent="0.2">
      <c r="A63" s="49" t="s">
        <v>11</v>
      </c>
      <c r="B63" s="122">
        <v>263312.01</v>
      </c>
      <c r="C63" s="85">
        <v>0</v>
      </c>
      <c r="D63" s="82">
        <f t="shared" si="5"/>
        <v>263312.01</v>
      </c>
      <c r="E63" s="86">
        <f>SUM($D$56:D63)</f>
        <v>849676.51</v>
      </c>
      <c r="F63" s="144">
        <f>E63/8</f>
        <v>106209.56375</v>
      </c>
      <c r="G63" s="131">
        <v>256309</v>
      </c>
      <c r="H63" s="155">
        <f>SUM(G56:G63)</f>
        <v>707291.44</v>
      </c>
    </row>
    <row r="64" spans="1:11" ht="14.1" customHeight="1" x14ac:dyDescent="0.2">
      <c r="A64" s="49" t="s">
        <v>12</v>
      </c>
      <c r="B64" s="122">
        <v>9818.4599999999991</v>
      </c>
      <c r="C64" s="85">
        <v>0</v>
      </c>
      <c r="D64" s="82">
        <f t="shared" si="5"/>
        <v>9818.4599999999991</v>
      </c>
      <c r="E64" s="86">
        <f>SUM($D$56:D64)</f>
        <v>859494.97</v>
      </c>
      <c r="F64" s="144">
        <f>E64/9</f>
        <v>95499.441111111111</v>
      </c>
      <c r="G64" s="131">
        <v>0</v>
      </c>
      <c r="H64" s="155">
        <f>SUM(G56:G64)</f>
        <v>707291.44</v>
      </c>
    </row>
    <row r="65" spans="1:12" ht="14.1" customHeight="1" x14ac:dyDescent="0.2">
      <c r="A65" s="49" t="s">
        <v>13</v>
      </c>
      <c r="B65" s="122">
        <v>1316.17</v>
      </c>
      <c r="C65" s="85">
        <v>0</v>
      </c>
      <c r="D65" s="82">
        <f t="shared" si="5"/>
        <v>1316.17</v>
      </c>
      <c r="E65" s="86">
        <f>SUM($D$56:D65)</f>
        <v>860811.14</v>
      </c>
      <c r="F65" s="144">
        <f>E65/10</f>
        <v>86081.114000000001</v>
      </c>
      <c r="G65" s="131">
        <v>0</v>
      </c>
      <c r="H65" s="155">
        <f>SUM(G56:G65)</f>
        <v>707291.44</v>
      </c>
    </row>
    <row r="66" spans="1:12" ht="14.1" customHeight="1" x14ac:dyDescent="0.2">
      <c r="A66" s="49" t="s">
        <v>14</v>
      </c>
      <c r="B66" s="122">
        <v>268497.13</v>
      </c>
      <c r="C66" s="85">
        <v>0</v>
      </c>
      <c r="D66" s="82">
        <f t="shared" si="5"/>
        <v>268497.13</v>
      </c>
      <c r="E66" s="124">
        <f>SUM($D$56:D66)</f>
        <v>1129308.27</v>
      </c>
      <c r="F66" s="144">
        <f>E66/11</f>
        <v>102664.38818181818</v>
      </c>
      <c r="G66" s="131">
        <v>242781.19</v>
      </c>
      <c r="H66" s="87">
        <f>SUM(G56:G66)</f>
        <v>950072.62999999989</v>
      </c>
    </row>
    <row r="67" spans="1:12" ht="14.1" customHeight="1" x14ac:dyDescent="0.2">
      <c r="A67" s="49" t="s">
        <v>15</v>
      </c>
      <c r="B67" s="187">
        <v>0</v>
      </c>
      <c r="C67" s="188">
        <v>870.54</v>
      </c>
      <c r="D67" s="95">
        <f t="shared" si="5"/>
        <v>870.54</v>
      </c>
      <c r="E67" s="168">
        <f>SUM($D$56:D67)</f>
        <v>1130178.81</v>
      </c>
      <c r="F67" s="145">
        <f>E67/12</f>
        <v>94181.567500000005</v>
      </c>
      <c r="G67" s="131">
        <v>1682.5</v>
      </c>
      <c r="H67" s="24">
        <f>SUM(G56:G67)</f>
        <v>951755.12999999989</v>
      </c>
    </row>
    <row r="68" spans="1:12" ht="45" customHeight="1" x14ac:dyDescent="0.2">
      <c r="A68" s="76" t="s">
        <v>28</v>
      </c>
      <c r="B68" s="26">
        <f>SUM(B56:B67)</f>
        <v>1129308.27</v>
      </c>
      <c r="C68" s="84">
        <f>SUM(C56:C67)</f>
        <v>870.54</v>
      </c>
      <c r="D68" s="83">
        <f t="shared" si="5"/>
        <v>1130178.81</v>
      </c>
      <c r="E68" s="80"/>
      <c r="F68" s="79"/>
      <c r="G68" s="133">
        <f>SUM(G56:G67)</f>
        <v>951755.12999999989</v>
      </c>
    </row>
    <row r="69" spans="1:12" ht="12.95" customHeight="1" x14ac:dyDescent="0.2">
      <c r="A69" s="61"/>
      <c r="B69" s="60"/>
      <c r="F69" s="50"/>
      <c r="G69" s="24"/>
    </row>
    <row r="70" spans="1:12" ht="33" customHeight="1" x14ac:dyDescent="0.2">
      <c r="A70" s="59" t="s">
        <v>48</v>
      </c>
      <c r="B70" s="189">
        <v>500000</v>
      </c>
      <c r="C70" s="189">
        <v>0</v>
      </c>
      <c r="D70" s="167">
        <f>SUM(B70:C70)</f>
        <v>500000</v>
      </c>
      <c r="F70" s="29"/>
      <c r="G70" s="134">
        <f>G68/12</f>
        <v>79312.927499999991</v>
      </c>
    </row>
    <row r="71" spans="1:12" ht="33" customHeight="1" x14ac:dyDescent="0.2">
      <c r="A71" s="117" t="s">
        <v>63</v>
      </c>
      <c r="B71" s="162">
        <v>851000</v>
      </c>
      <c r="C71" s="162"/>
      <c r="D71" s="143">
        <f>SUM(B71:C71)</f>
        <v>851000</v>
      </c>
      <c r="F71" s="29"/>
      <c r="G71" s="67" t="s">
        <v>61</v>
      </c>
    </row>
    <row r="72" spans="1:12" ht="33" hidden="1" customHeight="1" x14ac:dyDescent="0.2">
      <c r="A72" s="117" t="s">
        <v>49</v>
      </c>
      <c r="B72" s="152"/>
      <c r="C72" s="153"/>
      <c r="D72" s="118">
        <f>SUM(B72:C72)</f>
        <v>0</v>
      </c>
      <c r="F72" s="29"/>
      <c r="G72" s="67"/>
    </row>
    <row r="73" spans="1:12" ht="33" hidden="1" customHeight="1" x14ac:dyDescent="0.2">
      <c r="A73" s="115" t="s">
        <v>51</v>
      </c>
      <c r="B73" s="148"/>
      <c r="C73" s="149"/>
      <c r="D73" s="118">
        <f>SUM(B73:C73)</f>
        <v>0</v>
      </c>
      <c r="F73" s="29"/>
      <c r="G73" s="67"/>
    </row>
    <row r="74" spans="1:12" s="54" customFormat="1" ht="24" customHeight="1" x14ac:dyDescent="0.2">
      <c r="A74" s="51" t="s">
        <v>22</v>
      </c>
      <c r="B74" s="53">
        <f>B68/B70</f>
        <v>2.2586165400000002</v>
      </c>
      <c r="C74" s="53" t="e">
        <f>C68/C70</f>
        <v>#DIV/0!</v>
      </c>
      <c r="D74" s="154">
        <f>D68/D71</f>
        <v>1.3280597062279671</v>
      </c>
      <c r="E74" s="52"/>
      <c r="F74" s="70"/>
      <c r="H74" s="66"/>
      <c r="K74" s="70"/>
      <c r="L74" s="70"/>
    </row>
    <row r="75" spans="1:12" ht="15.75" customHeight="1" x14ac:dyDescent="0.2">
      <c r="C75" s="190"/>
      <c r="E75" s="164"/>
      <c r="F75" s="66"/>
    </row>
    <row r="76" spans="1:12" ht="24" customHeight="1" x14ac:dyDescent="0.2">
      <c r="A76" s="128" t="s">
        <v>52</v>
      </c>
      <c r="B76" s="129">
        <v>951704.26</v>
      </c>
      <c r="C76" s="138">
        <v>50.87</v>
      </c>
      <c r="D76" s="146">
        <f>SUM(B76:C76)</f>
        <v>951755.13</v>
      </c>
      <c r="E76" s="164"/>
      <c r="F76" s="66"/>
    </row>
    <row r="77" spans="1:12" ht="24" customHeight="1" x14ac:dyDescent="0.2">
      <c r="C77" s="190"/>
      <c r="E77" s="164"/>
      <c r="F77" s="66"/>
    </row>
    <row r="78" spans="1:12" ht="19.5" customHeight="1" x14ac:dyDescent="0.2">
      <c r="A78" s="75" t="s">
        <v>26</v>
      </c>
      <c r="B78" s="43"/>
      <c r="C78" s="43"/>
      <c r="D78" s="37"/>
      <c r="G78" s="41"/>
    </row>
    <row r="79" spans="1:12" ht="16.5" customHeight="1" x14ac:dyDescent="0.2">
      <c r="B79" s="56" t="s">
        <v>24</v>
      </c>
      <c r="C79" s="57" t="s">
        <v>35</v>
      </c>
      <c r="D79" s="56" t="s">
        <v>20</v>
      </c>
      <c r="E79" s="45"/>
    </row>
    <row r="80" spans="1:12" ht="17.100000000000001" customHeight="1" x14ac:dyDescent="0.2">
      <c r="A80" s="170" t="s">
        <v>4</v>
      </c>
      <c r="B80" s="181">
        <f>C93*1</f>
        <v>41667</v>
      </c>
      <c r="C80" s="176">
        <v>2716.08</v>
      </c>
      <c r="D80" s="46">
        <f t="shared" ref="D80:D91" si="6">C80-B80</f>
        <v>-38950.92</v>
      </c>
      <c r="E80" s="63" t="s">
        <v>30</v>
      </c>
    </row>
    <row r="81" spans="1:6" ht="17.100000000000001" customHeight="1" x14ac:dyDescent="0.2">
      <c r="A81" s="170" t="s">
        <v>5</v>
      </c>
      <c r="B81" s="191">
        <f>$C$93*2</f>
        <v>83334</v>
      </c>
      <c r="C81" s="88">
        <v>304336.05</v>
      </c>
      <c r="D81" s="24">
        <f t="shared" si="6"/>
        <v>221002.05</v>
      </c>
      <c r="E81" s="63" t="s">
        <v>62</v>
      </c>
    </row>
    <row r="82" spans="1:6" ht="15.95" customHeight="1" x14ac:dyDescent="0.2">
      <c r="A82" s="170" t="s">
        <v>6</v>
      </c>
      <c r="B82" s="191">
        <f>$C$93*3</f>
        <v>125001</v>
      </c>
      <c r="C82" s="88">
        <v>305630.14</v>
      </c>
      <c r="D82" s="24">
        <f t="shared" si="6"/>
        <v>180629.14</v>
      </c>
      <c r="E82" s="63" t="s">
        <v>62</v>
      </c>
      <c r="F82" s="39"/>
    </row>
    <row r="83" spans="1:6" ht="18" customHeight="1" x14ac:dyDescent="0.2">
      <c r="A83" s="170" t="s">
        <v>7</v>
      </c>
      <c r="B83" s="191">
        <f>$C$93*4</f>
        <v>166668</v>
      </c>
      <c r="C83" s="88">
        <v>306718.07</v>
      </c>
      <c r="D83" s="24">
        <f t="shared" si="6"/>
        <v>140050.07</v>
      </c>
      <c r="E83" s="63" t="s">
        <v>62</v>
      </c>
      <c r="F83" s="44"/>
    </row>
    <row r="84" spans="1:6" ht="15.75" customHeight="1" x14ac:dyDescent="0.2">
      <c r="A84" s="170" t="s">
        <v>8</v>
      </c>
      <c r="B84" s="191">
        <f>$C$93*5</f>
        <v>208335</v>
      </c>
      <c r="C84" s="71">
        <v>585593.88</v>
      </c>
      <c r="D84" s="24">
        <f t="shared" si="6"/>
        <v>377258.88</v>
      </c>
      <c r="E84" s="63" t="s">
        <v>62</v>
      </c>
      <c r="F84" s="44"/>
    </row>
    <row r="85" spans="1:6" ht="15.75" customHeight="1" x14ac:dyDescent="0.2">
      <c r="A85" s="170" t="s">
        <v>9</v>
      </c>
      <c r="B85" s="191">
        <f>$C$93*6</f>
        <v>250002</v>
      </c>
      <c r="C85" s="71">
        <v>585593.88</v>
      </c>
      <c r="D85" s="24">
        <f t="shared" si="6"/>
        <v>335591.88</v>
      </c>
      <c r="E85" s="63" t="s">
        <v>40</v>
      </c>
      <c r="F85" s="44"/>
    </row>
    <row r="86" spans="1:6" ht="15.75" customHeight="1" x14ac:dyDescent="0.2">
      <c r="A86" s="170" t="s">
        <v>10</v>
      </c>
      <c r="B86" s="191">
        <f>$C$93*7</f>
        <v>291669</v>
      </c>
      <c r="C86" s="71">
        <v>586364.5</v>
      </c>
      <c r="D86" s="24">
        <f t="shared" si="6"/>
        <v>294695.5</v>
      </c>
      <c r="E86" s="63" t="s">
        <v>40</v>
      </c>
      <c r="F86" s="44"/>
    </row>
    <row r="87" spans="1:6" ht="15.75" customHeight="1" x14ac:dyDescent="0.2">
      <c r="A87" s="170" t="s">
        <v>11</v>
      </c>
      <c r="B87" s="191">
        <f>$C$93*8</f>
        <v>333336</v>
      </c>
      <c r="C87" s="192">
        <v>849676.51</v>
      </c>
      <c r="D87" s="24">
        <f t="shared" si="6"/>
        <v>516340.51</v>
      </c>
      <c r="E87" s="63" t="s">
        <v>40</v>
      </c>
      <c r="F87" s="44"/>
    </row>
    <row r="88" spans="1:6" ht="15.75" customHeight="1" x14ac:dyDescent="0.2">
      <c r="A88" s="170" t="s">
        <v>12</v>
      </c>
      <c r="B88" s="191">
        <f>$C$93*9</f>
        <v>375003</v>
      </c>
      <c r="C88" s="71">
        <v>859494.97</v>
      </c>
      <c r="D88" s="24">
        <f t="shared" si="6"/>
        <v>484491.97</v>
      </c>
      <c r="E88" s="63" t="s">
        <v>40</v>
      </c>
      <c r="F88" s="39"/>
    </row>
    <row r="89" spans="1:6" ht="15.75" customHeight="1" x14ac:dyDescent="0.2">
      <c r="A89" s="170" t="s">
        <v>13</v>
      </c>
      <c r="B89" s="191">
        <f>$C$94*10</f>
        <v>709166.66666666674</v>
      </c>
      <c r="C89" s="71">
        <v>860811.14</v>
      </c>
      <c r="D89" s="24">
        <f t="shared" si="6"/>
        <v>151644.47333333327</v>
      </c>
      <c r="E89" s="63" t="s">
        <v>40</v>
      </c>
      <c r="F89" s="44"/>
    </row>
    <row r="90" spans="1:6" ht="15.75" customHeight="1" x14ac:dyDescent="0.2">
      <c r="A90" s="170" t="s">
        <v>23</v>
      </c>
      <c r="B90" s="191">
        <f>$C$94*11</f>
        <v>780083.33333333337</v>
      </c>
      <c r="C90" s="71">
        <v>1129309.27</v>
      </c>
      <c r="D90" s="24">
        <f t="shared" si="6"/>
        <v>349225.93666666665</v>
      </c>
      <c r="E90" s="63" t="s">
        <v>40</v>
      </c>
      <c r="F90" s="44"/>
    </row>
    <row r="91" spans="1:6" ht="15.75" customHeight="1" x14ac:dyDescent="0.2">
      <c r="A91" s="170" t="s">
        <v>15</v>
      </c>
      <c r="B91" s="191">
        <f>$C$94*12</f>
        <v>851000</v>
      </c>
      <c r="C91" s="71">
        <v>1130178.81</v>
      </c>
      <c r="D91" s="24">
        <f t="shared" si="6"/>
        <v>279178.81000000006</v>
      </c>
      <c r="E91" s="63" t="s">
        <v>40</v>
      </c>
      <c r="F91" s="44"/>
    </row>
    <row r="92" spans="1:6" ht="15.75" customHeight="1" x14ac:dyDescent="0.2">
      <c r="B92" s="163" t="s">
        <v>25</v>
      </c>
      <c r="C92" s="160">
        <v>500000</v>
      </c>
      <c r="D92" s="183"/>
      <c r="E92" s="183"/>
      <c r="F92" s="44"/>
    </row>
    <row r="93" spans="1:6" ht="44.25" customHeight="1" x14ac:dyDescent="0.2">
      <c r="B93" s="119" t="s">
        <v>37</v>
      </c>
      <c r="C93" s="150">
        <v>41667</v>
      </c>
      <c r="E93" s="183"/>
      <c r="F93" s="44"/>
    </row>
    <row r="94" spans="1:6" ht="44.25" customHeight="1" x14ac:dyDescent="0.2">
      <c r="A94" s="235" t="s">
        <v>65</v>
      </c>
      <c r="B94" s="235"/>
      <c r="C94" s="160">
        <f>D71/12</f>
        <v>70916.666666666672</v>
      </c>
      <c r="D94" s="120"/>
      <c r="E94" s="183"/>
      <c r="F94" s="44"/>
    </row>
    <row r="95" spans="1:6" ht="44.25" hidden="1" customHeight="1" x14ac:dyDescent="0.2">
      <c r="A95" s="235" t="s">
        <v>50</v>
      </c>
      <c r="B95" s="235"/>
      <c r="C95" s="150">
        <f>D72/12</f>
        <v>0</v>
      </c>
      <c r="D95" s="120"/>
      <c r="E95" s="183"/>
      <c r="F95" s="44"/>
    </row>
    <row r="96" spans="1:6" ht="15.75" customHeight="1" x14ac:dyDescent="0.2">
      <c r="A96" s="62" t="s">
        <v>36</v>
      </c>
      <c r="B96" s="184"/>
      <c r="C96" s="184"/>
      <c r="D96" s="37"/>
      <c r="F96" s="44"/>
    </row>
    <row r="97" spans="1:6" ht="15.75" customHeight="1" x14ac:dyDescent="0.2">
      <c r="F97" s="44"/>
    </row>
    <row r="98" spans="1:6" x14ac:dyDescent="0.2">
      <c r="A98" s="193"/>
      <c r="B98" s="114"/>
      <c r="C98" s="37"/>
    </row>
    <row r="99" spans="1:6" x14ac:dyDescent="0.2">
      <c r="A99" s="193"/>
      <c r="B99" s="114"/>
      <c r="C99" s="37"/>
    </row>
  </sheetData>
  <mergeCells count="17">
    <mergeCell ref="M5:M6"/>
    <mergeCell ref="B4:K4"/>
    <mergeCell ref="I5:I6"/>
    <mergeCell ref="J5:J6"/>
    <mergeCell ref="K5:K6"/>
    <mergeCell ref="L5:L6"/>
    <mergeCell ref="G54:G55"/>
    <mergeCell ref="H54:H55"/>
    <mergeCell ref="A94:B94"/>
    <mergeCell ref="A95:B95"/>
    <mergeCell ref="A44:B44"/>
    <mergeCell ref="A45:B45"/>
    <mergeCell ref="A46:B46"/>
    <mergeCell ref="B53:F53"/>
    <mergeCell ref="D54:D55"/>
    <mergeCell ref="E54:E55"/>
    <mergeCell ref="F54:F5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89BDFEC61A89B45A18115E522EBF2AD" ma:contentTypeVersion="0" ma:contentTypeDescription="Vytvoří nový dokument" ma:contentTypeScope="" ma:versionID="760aaf53165f765b5f048545615fcfc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91e2fbbf3efe6f5ad217f05f8c142fe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DC3B771-C6C0-4539-8951-9652760EB1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727F476-D90B-451D-A133-E056140FEE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84CF82-5072-4435-A10C-6694299087F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daň.příjmy 2025</vt:lpstr>
      <vt:lpstr>daň. příjmy 2024</vt:lpstr>
      <vt:lpstr>daň. příjmy 2023</vt:lpstr>
      <vt:lpstr>daň. příjmy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Friedlová</dc:creator>
  <cp:lastModifiedBy>Hana Milatová</cp:lastModifiedBy>
  <cp:revision>0</cp:revision>
  <cp:lastPrinted>2025-08-18T05:40:56Z</cp:lastPrinted>
  <dcterms:created xsi:type="dcterms:W3CDTF">1601-01-01T00:00:00Z</dcterms:created>
  <dcterms:modified xsi:type="dcterms:W3CDTF">2025-10-06T16:38:16Z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-143135302</vt:i4>
  </property>
  <property fmtid="{D5CDD505-2E9C-101B-9397-08002B2CF9AE}" pid="3" name="_EmailSubject">
    <vt:lpwstr/>
  </property>
  <property fmtid="{D5CDD505-2E9C-101B-9397-08002B2CF9AE}" pid="4" name="_AuthorEmail">
    <vt:lpwstr>nevludova@pribor-mesto.cz</vt:lpwstr>
  </property>
  <property fmtid="{D5CDD505-2E9C-101B-9397-08002B2CF9AE}" pid="5" name="_AuthorEmailDisplayName">
    <vt:lpwstr>Barbora Nevludová</vt:lpwstr>
  </property>
  <property fmtid="{D5CDD505-2E9C-101B-9397-08002B2CF9AE}" pid="6" name="_ReviewingToolsShownOnce">
    <vt:lpwstr/>
  </property>
  <property fmtid="{D5CDD505-2E9C-101B-9397-08002B2CF9AE}" pid="7" name="ContentTypeId">
    <vt:lpwstr>0x010100A89BDFEC61A89B45A18115E522EBF2AD</vt:lpwstr>
  </property>
</Properties>
</file>